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xl/drawings/drawing9.xml" ContentType="application/vnd.openxmlformats-officedocument.drawing+xml"/>
  <Override PartName="/xl/tables/table9.xml" ContentType="application/vnd.openxmlformats-officedocument.spreadsheetml.table+xml"/>
  <Override PartName="/xl/drawings/drawing10.xml" ContentType="application/vnd.openxmlformats-officedocument.drawing+xml"/>
  <Override PartName="/xl/tables/table10.xml" ContentType="application/vnd.openxmlformats-officedocument.spreadsheetml.table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tables/table11.xml" ContentType="application/vnd.openxmlformats-officedocument.spreadsheetml.tab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788f8febbdb7a3e7/Documents/Computergaga/_excel/files/london-excel-meetup/"/>
    </mc:Choice>
  </mc:AlternateContent>
  <xr:revisionPtr revIDLastSave="0" documentId="14_{1C4EEFE0-D073-4663-8EE2-71FF3F69CED9}" xr6:coauthVersionLast="47" xr6:coauthVersionMax="47" xr10:uidLastSave="{00000000-0000-0000-0000-000000000000}"/>
  <bookViews>
    <workbookView xWindow="28680" yWindow="-120" windowWidth="29040" windowHeight="15720" firstSheet="1" activeTab="6" xr2:uid="{F0EB8CF0-FBF0-4E37-9192-58020300AE9E}"/>
  </bookViews>
  <sheets>
    <sheet name="About and Summary" sheetId="8" r:id="rId1"/>
    <sheet name="XLOOKUP" sheetId="5" r:id="rId2"/>
    <sheet name="As an Array formula" sheetId="12" r:id="rId3"/>
    <sheet name="Error Handling" sheetId="13" r:id="rId4"/>
    <sheet name="Approximate Match" sheetId="14" r:id="rId5"/>
    <sheet name="Wildcard" sheetId="15" r:id="rId6"/>
    <sheet name="Dynamic Range" sheetId="16" r:id="rId7"/>
    <sheet name="Conditional Formatting" sheetId="22" r:id="rId8"/>
    <sheet name="Embedded" sheetId="17" r:id="rId9"/>
    <sheet name="Multiple Criteria" sheetId="18" r:id="rId10"/>
    <sheet name="XNPV &amp; XIRR" sheetId="2" r:id="rId11"/>
    <sheet name="XNPV &amp; XIRR (2)" sheetId="10" r:id="rId12"/>
    <sheet name="XOR" sheetId="3" r:id="rId13"/>
    <sheet name="XOR (2)" sheetId="11" r:id="rId14"/>
    <sheet name="XMATCH" sheetId="4" r:id="rId15"/>
    <sheet name="XMATCH (2)" sheetId="19" r:id="rId16"/>
    <sheet name="XMATCH (3)" sheetId="20" r:id="rId17"/>
    <sheet name="Thanks" sheetId="21" r:id="rId18"/>
  </sheets>
  <definedNames>
    <definedName name="Dlist">_xlfn.XLOOKUP('Dynamic Range'!$I$9,TblPizza6[Date],TblPizza6[Date]):_xlfn.XLOOKUP('Dynamic Range'!$J$9,TblPizza6[Date],TblPizza6[Date])</definedName>
    <definedName name="DynamicRange">_xlfn.XLOOKUP('Dynamic Range'!XFB1048564,TblPizza6[Date],TblPizza6[Date]):_xlfn.XLOOKUP('Dynamic Range'!XFC1048564,TblPizza6[Date],TblPizza6[Date])</definedName>
    <definedName name="ExternalData_1" localSheetId="0" hidden="1">'About and Summary'!$T$6:$T$24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9" i="13" l="1"/>
  <c r="K9" i="13"/>
  <c r="L9" i="13"/>
  <c r="J10" i="13"/>
  <c r="K10" i="13"/>
  <c r="L10" i="13"/>
  <c r="J11" i="13"/>
  <c r="K11" i="13"/>
  <c r="L11" i="13"/>
  <c r="J12" i="13"/>
  <c r="K12" i="13"/>
  <c r="L12" i="13"/>
  <c r="J13" i="13"/>
  <c r="K13" i="13"/>
  <c r="L13" i="13"/>
  <c r="J14" i="13"/>
  <c r="K14" i="13"/>
  <c r="L14" i="13"/>
  <c r="J15" i="13"/>
  <c r="K15" i="13"/>
  <c r="L15" i="13"/>
  <c r="J16" i="13"/>
  <c r="K16" i="13"/>
  <c r="L16" i="13"/>
  <c r="N9" i="18" a="1"/>
  <c r="N9" i="18" s="1"/>
  <c r="Y15" i="12" a="1"/>
  <c r="Y15" i="12" s="1"/>
  <c r="H32" i="5" a="1"/>
  <c r="H32" i="5" s="1"/>
  <c r="V24" i="8"/>
  <c r="V23" i="8"/>
  <c r="V22" i="8"/>
  <c r="V21" i="8"/>
  <c r="V20" i="8"/>
  <c r="V19" i="8"/>
  <c r="V18" i="8"/>
  <c r="V17" i="8"/>
  <c r="V16" i="8"/>
  <c r="V15" i="8"/>
  <c r="J9" i="22" a="1"/>
  <c r="J9" i="22" s="1"/>
  <c r="G24" i="22" s="1" a="1"/>
  <c r="G24" i="22" s="1"/>
  <c r="P12" i="11"/>
  <c r="P13" i="11"/>
  <c r="P14" i="11"/>
  <c r="P15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7" i="11"/>
  <c r="P48" i="11"/>
  <c r="P49" i="11"/>
  <c r="P50" i="11"/>
  <c r="P11" i="11"/>
  <c r="L42" i="11"/>
  <c r="M42" i="11" a="1"/>
  <c r="M42" i="11" s="1"/>
  <c r="N42" i="11" s="1" a="1"/>
  <c r="N42" i="11" s="1"/>
  <c r="O42" i="11"/>
  <c r="L43" i="11"/>
  <c r="M43" i="11" a="1"/>
  <c r="M43" i="11" s="1"/>
  <c r="N43" i="11" s="1" a="1"/>
  <c r="N43" i="11" s="1"/>
  <c r="O43" i="11"/>
  <c r="L44" i="11"/>
  <c r="M44" i="11" a="1"/>
  <c r="M44" i="11" s="1"/>
  <c r="N44" i="11" s="1" a="1"/>
  <c r="N44" i="11" s="1"/>
  <c r="O44" i="11"/>
  <c r="L45" i="11"/>
  <c r="M45" i="11" a="1"/>
  <c r="M45" i="11" s="1"/>
  <c r="O45" i="11"/>
  <c r="L46" i="11"/>
  <c r="M46" i="11" a="1"/>
  <c r="M46" i="11" s="1"/>
  <c r="N46" i="11" s="1" a="1"/>
  <c r="N46" i="11" s="1"/>
  <c r="O46" i="11"/>
  <c r="L47" i="11"/>
  <c r="M47" i="11" a="1"/>
  <c r="M47" i="11" s="1"/>
  <c r="O47" i="11"/>
  <c r="L48" i="11"/>
  <c r="M48" i="11" a="1"/>
  <c r="M48" i="11" s="1"/>
  <c r="O48" i="11"/>
  <c r="L49" i="11"/>
  <c r="M49" i="11" a="1"/>
  <c r="M49" i="11" s="1"/>
  <c r="O49" i="11"/>
  <c r="L50" i="11"/>
  <c r="M50" i="11" a="1"/>
  <c r="M50" i="11" s="1"/>
  <c r="O50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11" i="11"/>
  <c r="N25" i="20" a="1"/>
  <c r="N25" i="20" s="1"/>
  <c r="N24" i="20" a="1"/>
  <c r="N24" i="20" s="1"/>
  <c r="N19" i="20" a="1"/>
  <c r="N19" i="20" s="1"/>
  <c r="N18" i="20"/>
  <c r="B14" i="20" a="1"/>
  <c r="B14" i="20" s="1"/>
  <c r="A14" i="20" a="1"/>
  <c r="A14" i="20" s="1"/>
  <c r="B13" i="20" a="1"/>
  <c r="B13" i="20" s="1"/>
  <c r="A13" i="20" a="1"/>
  <c r="A13" i="20" s="1"/>
  <c r="B12" i="20" a="1"/>
  <c r="B12" i="20" s="1"/>
  <c r="A12" i="20" a="1"/>
  <c r="A12" i="20" s="1"/>
  <c r="B11" i="20" a="1"/>
  <c r="B11" i="20" s="1"/>
  <c r="A11" i="20" a="1"/>
  <c r="A11" i="20" s="1"/>
  <c r="B10" i="20" a="1"/>
  <c r="B10" i="20" s="1"/>
  <c r="A10" i="20" a="1"/>
  <c r="A10" i="20" s="1"/>
  <c r="L13" i="19" a="1"/>
  <c r="L13" i="19" s="1"/>
  <c r="L17" i="19" s="1" a="1"/>
  <c r="L17" i="19" s="1"/>
  <c r="L28" i="2"/>
  <c r="P9" i="22"/>
  <c r="N13" i="19"/>
  <c r="N28" i="20"/>
  <c r="N22" i="20"/>
  <c r="L16" i="2"/>
  <c r="B16" i="20"/>
  <c r="B17" i="20"/>
  <c r="N27" i="20"/>
  <c r="N21" i="20"/>
  <c r="N17" i="19"/>
  <c r="G16" i="22" l="1" a="1"/>
  <c r="G16" i="22" s="1"/>
  <c r="G10" i="22" a="1"/>
  <c r="G10" i="22" s="1"/>
  <c r="G11" i="22" a="1"/>
  <c r="G11" i="22" s="1"/>
  <c r="G19" i="22" a="1"/>
  <c r="G19" i="22" s="1"/>
  <c r="G18" i="22" a="1"/>
  <c r="G18" i="22" s="1"/>
  <c r="G12" i="22" a="1"/>
  <c r="G12" i="22" s="1"/>
  <c r="G20" i="22" a="1"/>
  <c r="G20" i="22" s="1"/>
  <c r="G17" i="22" a="1"/>
  <c r="G17" i="22" s="1"/>
  <c r="G13" i="22" a="1"/>
  <c r="G13" i="22" s="1"/>
  <c r="G21" i="22" a="1"/>
  <c r="G21" i="22" s="1"/>
  <c r="G15" i="22" a="1"/>
  <c r="G15" i="22" s="1"/>
  <c r="G9" i="22" a="1"/>
  <c r="G9" i="22" s="1"/>
  <c r="G14" i="22" a="1"/>
  <c r="G14" i="22" s="1"/>
  <c r="G22" i="22" a="1"/>
  <c r="G22" i="22" s="1"/>
  <c r="G23" i="22" a="1"/>
  <c r="G23" i="22" s="1"/>
  <c r="Q48" i="11"/>
  <c r="Q42" i="11"/>
  <c r="Q50" i="11"/>
  <c r="Q45" i="11"/>
  <c r="Q43" i="11"/>
  <c r="Q44" i="11"/>
  <c r="Q47" i="11"/>
  <c r="Q49" i="11"/>
  <c r="Q46" i="11"/>
  <c r="R50" i="11"/>
  <c r="N49" i="11" a="1"/>
  <c r="N49" i="11" s="1"/>
  <c r="R48" i="11"/>
  <c r="N48" i="11" a="1"/>
  <c r="N48" i="11" s="1"/>
  <c r="N50" i="11" a="1"/>
  <c r="N50" i="11" s="1"/>
  <c r="N45" i="11" a="1"/>
  <c r="N45" i="11" s="1"/>
  <c r="N47" i="11" a="1"/>
  <c r="N47" i="11" s="1"/>
  <c r="R46" i="11"/>
  <c r="R49" i="11"/>
  <c r="R44" i="11"/>
  <c r="R45" i="11"/>
  <c r="R43" i="11"/>
  <c r="R42" i="11"/>
  <c r="R47" i="11"/>
  <c r="T15" i="12" a="1"/>
  <c r="T15" i="12" s="1"/>
  <c r="U15" i="12" s="1" a="1"/>
  <c r="U15" i="12" s="1"/>
  <c r="J11" i="12" a="1"/>
  <c r="J11" i="12" s="1"/>
  <c r="J12" i="12" a="1"/>
  <c r="J12" i="12" s="1"/>
  <c r="J13" i="12" a="1"/>
  <c r="J13" i="12" s="1"/>
  <c r="J14" i="12" a="1"/>
  <c r="J14" i="12" s="1"/>
  <c r="J15" i="12" a="1"/>
  <c r="J15" i="12" s="1"/>
  <c r="J16" i="12" a="1"/>
  <c r="J16" i="12" s="1"/>
  <c r="J9" i="12"/>
  <c r="J10" i="12" a="1"/>
  <c r="J10" i="12" s="1"/>
  <c r="V14" i="8"/>
  <c r="Y14" i="18" a="1"/>
  <c r="Y14" i="18" s="1"/>
  <c r="X14" i="18" a="1"/>
  <c r="X14" i="18" s="1"/>
  <c r="W14" i="18" a="1"/>
  <c r="W14" i="18" s="1"/>
  <c r="V14" i="18" a="1"/>
  <c r="V14" i="18" s="1"/>
  <c r="I18" i="17"/>
  <c r="H18" i="17"/>
  <c r="J10" i="17" a="1"/>
  <c r="J10" i="17" s="1"/>
  <c r="K9" i="16"/>
  <c r="I13" i="16" a="1"/>
  <c r="I13" i="16" s="1"/>
  <c r="K16" i="16" s="1"/>
  <c r="F32" i="15"/>
  <c r="E32" i="15"/>
  <c r="G31" i="15" a="1"/>
  <c r="G31" i="15" s="1"/>
  <c r="G30" i="15" a="1"/>
  <c r="G30" i="15" s="1"/>
  <c r="G29" i="15" a="1"/>
  <c r="G29" i="15" s="1"/>
  <c r="G28" i="15" a="1"/>
  <c r="G28" i="15" s="1"/>
  <c r="G27" i="15" a="1"/>
  <c r="G27" i="15" s="1"/>
  <c r="G26" i="15" a="1"/>
  <c r="G26" i="15" s="1"/>
  <c r="G25" i="15" a="1"/>
  <c r="G25" i="15" s="1"/>
  <c r="G24" i="15" a="1"/>
  <c r="G24" i="15" s="1"/>
  <c r="G23" i="15" a="1"/>
  <c r="G23" i="15" s="1"/>
  <c r="G22" i="15" a="1"/>
  <c r="G22" i="15" s="1"/>
  <c r="J13" i="15" s="1" a="1"/>
  <c r="J13" i="15" s="1"/>
  <c r="G21" i="15" a="1"/>
  <c r="G21" i="15" s="1"/>
  <c r="G20" i="15" a="1"/>
  <c r="G20" i="15" s="1"/>
  <c r="G19" i="15" a="1"/>
  <c r="G19" i="15" s="1"/>
  <c r="J12" i="15" s="1" a="1"/>
  <c r="J12" i="15" s="1"/>
  <c r="G18" i="15" a="1"/>
  <c r="G18" i="15" s="1"/>
  <c r="G17" i="15" a="1"/>
  <c r="G17" i="15" s="1"/>
  <c r="G16" i="15" a="1"/>
  <c r="G16" i="15" s="1"/>
  <c r="J10" i="15" s="1" a="1"/>
  <c r="J10" i="15" s="1"/>
  <c r="G15" i="15" a="1"/>
  <c r="G15" i="15" s="1"/>
  <c r="G14" i="15" a="1"/>
  <c r="G14" i="15" s="1"/>
  <c r="G13" i="15" a="1"/>
  <c r="G13" i="15" s="1"/>
  <c r="G12" i="15" a="1"/>
  <c r="G12" i="15" s="1"/>
  <c r="G11" i="15" a="1"/>
  <c r="G11" i="15" s="1"/>
  <c r="J9" i="15" s="1" a="1"/>
  <c r="J9" i="15" s="1"/>
  <c r="G10" i="15" a="1"/>
  <c r="G10" i="15" s="1"/>
  <c r="J11" i="15" s="1" a="1"/>
  <c r="J11" i="15" s="1"/>
  <c r="G9" i="15" a="1"/>
  <c r="G9" i="15" s="1"/>
  <c r="J30" i="14"/>
  <c r="I30" i="14"/>
  <c r="H30" i="14"/>
  <c r="J29" i="14"/>
  <c r="I29" i="14"/>
  <c r="H29" i="14"/>
  <c r="J28" i="14"/>
  <c r="I28" i="14"/>
  <c r="H28" i="14"/>
  <c r="J27" i="14"/>
  <c r="I27" i="14"/>
  <c r="H27" i="14"/>
  <c r="J26" i="14"/>
  <c r="I26" i="14"/>
  <c r="H26" i="14"/>
  <c r="J25" i="14"/>
  <c r="I25" i="14"/>
  <c r="H25" i="14"/>
  <c r="J24" i="14"/>
  <c r="I24" i="14"/>
  <c r="H24" i="14"/>
  <c r="J23" i="14"/>
  <c r="I23" i="14"/>
  <c r="H23" i="14"/>
  <c r="J22" i="14"/>
  <c r="I22" i="14"/>
  <c r="H22" i="14"/>
  <c r="J21" i="14"/>
  <c r="I21" i="14"/>
  <c r="H21" i="14"/>
  <c r="J20" i="14"/>
  <c r="I20" i="14"/>
  <c r="H20" i="14"/>
  <c r="J19" i="14"/>
  <c r="I19" i="14"/>
  <c r="H19" i="14"/>
  <c r="J18" i="14"/>
  <c r="I18" i="14"/>
  <c r="H18" i="14"/>
  <c r="J17" i="14"/>
  <c r="I17" i="14"/>
  <c r="H17" i="14"/>
  <c r="J16" i="14"/>
  <c r="I16" i="14"/>
  <c r="H16" i="14"/>
  <c r="J15" i="14"/>
  <c r="I15" i="14"/>
  <c r="H15" i="14"/>
  <c r="J14" i="14"/>
  <c r="I14" i="14"/>
  <c r="H14" i="14"/>
  <c r="J13" i="14"/>
  <c r="I13" i="14"/>
  <c r="H13" i="14"/>
  <c r="J12" i="14"/>
  <c r="I12" i="14"/>
  <c r="H12" i="14"/>
  <c r="J11" i="14"/>
  <c r="I11" i="14"/>
  <c r="H11" i="14"/>
  <c r="J10" i="14"/>
  <c r="I10" i="14"/>
  <c r="H10" i="14"/>
  <c r="J9" i="14"/>
  <c r="I9" i="14"/>
  <c r="H9" i="14"/>
  <c r="J29" i="13" a="1"/>
  <c r="J29" i="13" s="1"/>
  <c r="J28" i="13" a="1"/>
  <c r="J28" i="13" s="1"/>
  <c r="J27" i="13" a="1"/>
  <c r="J27" i="13" s="1"/>
  <c r="J26" i="13" a="1"/>
  <c r="J26" i="13" s="1"/>
  <c r="J25" i="13" a="1"/>
  <c r="J25" i="13" s="1"/>
  <c r="J24" i="13" a="1"/>
  <c r="J24" i="13" s="1"/>
  <c r="J23" i="13" a="1"/>
  <c r="J23" i="13" s="1"/>
  <c r="J22" i="13" a="1"/>
  <c r="J22" i="13" s="1"/>
  <c r="J36" i="12" a="1"/>
  <c r="J36" i="12" s="1"/>
  <c r="J35" i="12"/>
  <c r="I32" i="10"/>
  <c r="J11" i="3"/>
  <c r="U3" i="18"/>
  <c r="P10" i="14"/>
  <c r="O9" i="13"/>
  <c r="O13" i="15"/>
  <c r="O12" i="15"/>
  <c r="N9" i="12"/>
  <c r="P17" i="14"/>
  <c r="O22" i="13"/>
  <c r="O10" i="15"/>
  <c r="O9" i="16"/>
  <c r="I20" i="10"/>
  <c r="O11" i="15"/>
  <c r="O9" i="15"/>
  <c r="P25" i="14"/>
  <c r="N10" i="12"/>
  <c r="G25" i="3"/>
  <c r="J13" i="3"/>
  <c r="J18" i="17" l="1"/>
  <c r="B16" i="11"/>
  <c r="A16" i="11"/>
  <c r="B15" i="11"/>
  <c r="A15" i="11"/>
  <c r="B14" i="11"/>
  <c r="A14" i="11"/>
  <c r="B13" i="11"/>
  <c r="A13" i="11"/>
  <c r="B12" i="11"/>
  <c r="A12" i="11"/>
  <c r="A11" i="11"/>
  <c r="B11" i="11"/>
  <c r="V13" i="8"/>
  <c r="V12" i="8"/>
  <c r="V11" i="8"/>
  <c r="V10" i="8"/>
  <c r="V9" i="8"/>
  <c r="V7" i="8"/>
  <c r="V8" i="8"/>
  <c r="F11" i="3" l="1"/>
  <c r="G11" i="3" s="1" a="1"/>
  <c r="G11" i="3" s="1"/>
  <c r="F12" i="3"/>
  <c r="G12" i="3" s="1" a="1"/>
  <c r="G12" i="3" s="1"/>
  <c r="F13" i="3"/>
  <c r="G13" i="3" s="1" a="1"/>
  <c r="G13" i="3" s="1"/>
  <c r="F14" i="3"/>
  <c r="G14" i="3" s="1" a="1"/>
  <c r="G14" i="3" s="1"/>
  <c r="F15" i="3"/>
  <c r="G15" i="3" s="1" a="1"/>
  <c r="G15" i="3" s="1"/>
  <c r="F16" i="3"/>
  <c r="G16" i="3" s="1" a="1"/>
  <c r="G16" i="3" s="1"/>
  <c r="F17" i="3"/>
  <c r="G17" i="3" s="1" a="1"/>
  <c r="G17" i="3" s="1"/>
  <c r="F18" i="3"/>
  <c r="G18" i="3" s="1" a="1"/>
  <c r="G18" i="3" s="1"/>
  <c r="F19" i="3"/>
  <c r="G19" i="3" s="1" a="1"/>
  <c r="G19" i="3" s="1"/>
  <c r="F20" i="3"/>
  <c r="G20" i="3" s="1" a="1"/>
  <c r="G20" i="3" s="1"/>
  <c r="F21" i="3"/>
  <c r="G21" i="3" s="1" a="1"/>
  <c r="G21" i="3" s="1"/>
  <c r="E11" i="3"/>
  <c r="E12" i="3"/>
  <c r="E13" i="3"/>
  <c r="E14" i="3"/>
  <c r="E15" i="3"/>
  <c r="E16" i="3"/>
  <c r="E17" i="3"/>
  <c r="E18" i="3"/>
  <c r="E19" i="3"/>
  <c r="E20" i="3"/>
  <c r="E21" i="3"/>
  <c r="M41" i="11" a="1"/>
  <c r="M41" i="11" s="1"/>
  <c r="Q41" i="11" s="1"/>
  <c r="L41" i="11"/>
  <c r="M40" i="11" a="1"/>
  <c r="M40" i="11" s="1"/>
  <c r="Q40" i="11" s="1"/>
  <c r="L40" i="11"/>
  <c r="M39" i="11" a="1"/>
  <c r="M39" i="11" s="1"/>
  <c r="Q39" i="11" s="1"/>
  <c r="L39" i="11"/>
  <c r="M38" i="11" a="1"/>
  <c r="M38" i="11" s="1"/>
  <c r="Q38" i="11" s="1"/>
  <c r="L38" i="11"/>
  <c r="M37" i="11" a="1"/>
  <c r="M37" i="11" s="1"/>
  <c r="Q37" i="11" s="1"/>
  <c r="L37" i="11"/>
  <c r="M36" i="11" a="1"/>
  <c r="M36" i="11" s="1"/>
  <c r="Q36" i="11" s="1"/>
  <c r="L36" i="11"/>
  <c r="M35" i="11" a="1"/>
  <c r="M35" i="11" s="1"/>
  <c r="Q35" i="11" s="1"/>
  <c r="L35" i="11"/>
  <c r="M34" i="11" a="1"/>
  <c r="M34" i="11" s="1"/>
  <c r="Q34" i="11" s="1"/>
  <c r="L34" i="11"/>
  <c r="M33" i="11" a="1"/>
  <c r="M33" i="11" s="1"/>
  <c r="Q33" i="11" s="1"/>
  <c r="L33" i="11"/>
  <c r="M32" i="11" a="1"/>
  <c r="M32" i="11" s="1"/>
  <c r="Q32" i="11" s="1"/>
  <c r="L32" i="11"/>
  <c r="M31" i="11" a="1"/>
  <c r="M31" i="11" s="1"/>
  <c r="Q31" i="11" s="1"/>
  <c r="L31" i="11"/>
  <c r="M30" i="11" a="1"/>
  <c r="M30" i="11" s="1"/>
  <c r="Q30" i="11" s="1"/>
  <c r="L30" i="11"/>
  <c r="M29" i="11" a="1"/>
  <c r="M29" i="11" s="1"/>
  <c r="Q29" i="11" s="1"/>
  <c r="L29" i="11"/>
  <c r="M28" i="11" a="1"/>
  <c r="M28" i="11" s="1"/>
  <c r="Q28" i="11" s="1"/>
  <c r="L28" i="11"/>
  <c r="M27" i="11" a="1"/>
  <c r="M27" i="11" s="1"/>
  <c r="Q27" i="11" s="1"/>
  <c r="L27" i="11"/>
  <c r="M26" i="11" a="1"/>
  <c r="M26" i="11" s="1"/>
  <c r="Q26" i="11" s="1"/>
  <c r="L26" i="11"/>
  <c r="M25" i="11" a="1"/>
  <c r="M25" i="11" s="1"/>
  <c r="Q25" i="11" s="1"/>
  <c r="L25" i="11"/>
  <c r="M24" i="11" a="1"/>
  <c r="M24" i="11" s="1"/>
  <c r="Q24" i="11" s="1"/>
  <c r="L24" i="11"/>
  <c r="M23" i="11" a="1"/>
  <c r="M23" i="11" s="1"/>
  <c r="Q23" i="11" s="1"/>
  <c r="L23" i="11"/>
  <c r="M22" i="11" a="1"/>
  <c r="M22" i="11" s="1"/>
  <c r="Q22" i="11" s="1"/>
  <c r="L22" i="11"/>
  <c r="M21" i="11" a="1"/>
  <c r="M21" i="11" s="1"/>
  <c r="Q21" i="11" s="1"/>
  <c r="L21" i="11"/>
  <c r="M20" i="11" a="1"/>
  <c r="M20" i="11" s="1"/>
  <c r="Q20" i="11" s="1"/>
  <c r="L20" i="11"/>
  <c r="M19" i="11" a="1"/>
  <c r="M19" i="11" s="1"/>
  <c r="Q19" i="11" s="1"/>
  <c r="L19" i="11"/>
  <c r="M18" i="11" a="1"/>
  <c r="M18" i="11" s="1"/>
  <c r="Q18" i="11" s="1"/>
  <c r="L18" i="11"/>
  <c r="M17" i="11" a="1"/>
  <c r="M17" i="11" s="1"/>
  <c r="Q17" i="11" s="1"/>
  <c r="L17" i="11"/>
  <c r="M16" i="11" a="1"/>
  <c r="M16" i="11" s="1"/>
  <c r="Q16" i="11" s="1"/>
  <c r="L16" i="11"/>
  <c r="M15" i="11" a="1"/>
  <c r="M15" i="11" s="1"/>
  <c r="Q15" i="11" s="1"/>
  <c r="L15" i="11"/>
  <c r="M14" i="11" a="1"/>
  <c r="M14" i="11" s="1"/>
  <c r="Q14" i="11" s="1"/>
  <c r="L14" i="11"/>
  <c r="M13" i="11" a="1"/>
  <c r="M13" i="11" s="1"/>
  <c r="Q13" i="11" s="1"/>
  <c r="L13" i="11"/>
  <c r="M12" i="11" a="1"/>
  <c r="M12" i="11" s="1"/>
  <c r="Q12" i="11" s="1"/>
  <c r="L12" i="11"/>
  <c r="M11" i="11" a="1"/>
  <c r="M11" i="11" s="1"/>
  <c r="Q11" i="11" s="1"/>
  <c r="L11" i="11"/>
  <c r="H16" i="11"/>
  <c r="H15" i="11"/>
  <c r="H14" i="11"/>
  <c r="H13" i="11"/>
  <c r="H12" i="11"/>
  <c r="H11" i="11"/>
  <c r="G32" i="10"/>
  <c r="D32" i="10"/>
  <c r="E31" i="10"/>
  <c r="B31" i="10"/>
  <c r="E30" i="10"/>
  <c r="B30" i="10"/>
  <c r="E29" i="10"/>
  <c r="B29" i="10"/>
  <c r="G28" i="10"/>
  <c r="E28" i="10"/>
  <c r="B28" i="10"/>
  <c r="E27" i="10"/>
  <c r="B27" i="10"/>
  <c r="E26" i="10"/>
  <c r="G20" i="10"/>
  <c r="D20" i="10"/>
  <c r="E19" i="10"/>
  <c r="E18" i="10"/>
  <c r="E17" i="10"/>
  <c r="G16" i="10"/>
  <c r="E16" i="10"/>
  <c r="E15" i="10"/>
  <c r="E14" i="10"/>
  <c r="V2" i="8" a="1"/>
  <c r="V2" i="8" s="1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11" i="2"/>
  <c r="E26" i="2"/>
  <c r="E28" i="2"/>
  <c r="E29" i="2"/>
  <c r="E30" i="2"/>
  <c r="E31" i="2"/>
  <c r="B28" i="2"/>
  <c r="B29" i="2"/>
  <c r="B30" i="2"/>
  <c r="B31" i="2"/>
  <c r="B27" i="2"/>
  <c r="E27" i="2"/>
  <c r="E14" i="2"/>
  <c r="G28" i="2"/>
  <c r="D32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11" i="2"/>
  <c r="G16" i="2"/>
  <c r="E16" i="2"/>
  <c r="E17" i="2"/>
  <c r="E18" i="2"/>
  <c r="E19" i="2"/>
  <c r="E15" i="2"/>
  <c r="D20" i="2"/>
  <c r="H18" i="5" a="1"/>
  <c r="H18" i="5" s="1"/>
  <c r="G22" i="4" a="1"/>
  <c r="G22" i="4" s="1"/>
  <c r="I30" i="2"/>
  <c r="I26" i="10"/>
  <c r="I28" i="2"/>
  <c r="I18" i="2"/>
  <c r="I30" i="10"/>
  <c r="I26" i="2"/>
  <c r="I19" i="2"/>
  <c r="I16" i="2"/>
  <c r="I31" i="10"/>
  <c r="I29" i="2"/>
  <c r="I14" i="10"/>
  <c r="I14" i="2"/>
  <c r="I28" i="10"/>
  <c r="I15" i="2"/>
  <c r="I15" i="10"/>
  <c r="I29" i="10"/>
  <c r="I17" i="10"/>
  <c r="I31" i="2"/>
  <c r="I27" i="2"/>
  <c r="I27" i="10"/>
  <c r="I19" i="10"/>
  <c r="I17" i="2"/>
  <c r="I18" i="10"/>
  <c r="I16" i="10"/>
  <c r="J22" i="4"/>
  <c r="N33" i="11" l="1" a="1"/>
  <c r="N33" i="11" s="1"/>
  <c r="N37" i="11" a="1"/>
  <c r="N37" i="11" s="1"/>
  <c r="N41" i="11" a="1"/>
  <c r="N41" i="11" s="1"/>
  <c r="N30" i="11" a="1"/>
  <c r="N30" i="11" s="1"/>
  <c r="N34" i="11" a="1"/>
  <c r="N34" i="11" s="1"/>
  <c r="N38" i="11" a="1"/>
  <c r="N38" i="11" s="1"/>
  <c r="N31" i="11" a="1"/>
  <c r="N31" i="11" s="1"/>
  <c r="N35" i="11" a="1"/>
  <c r="N35" i="11" s="1"/>
  <c r="N39" i="11" a="1"/>
  <c r="N39" i="11" s="1"/>
  <c r="N32" i="11" a="1"/>
  <c r="N32" i="11" s="1"/>
  <c r="N36" i="11" a="1"/>
  <c r="N36" i="11" s="1"/>
  <c r="N40" i="11" a="1"/>
  <c r="N40" i="11" s="1"/>
  <c r="R15" i="11"/>
  <c r="N20" i="11" a="1"/>
  <c r="N20" i="11" s="1"/>
  <c r="R13" i="11"/>
  <c r="R17" i="11"/>
  <c r="R21" i="11"/>
  <c r="R25" i="11"/>
  <c r="R29" i="11"/>
  <c r="R33" i="11"/>
  <c r="R37" i="11"/>
  <c r="R41" i="11"/>
  <c r="R27" i="11"/>
  <c r="R23" i="11"/>
  <c r="R14" i="11"/>
  <c r="R18" i="11"/>
  <c r="R22" i="11"/>
  <c r="R26" i="11"/>
  <c r="R30" i="11"/>
  <c r="R34" i="11"/>
  <c r="R38" i="11"/>
  <c r="N12" i="11" a="1"/>
  <c r="N12" i="11" s="1"/>
  <c r="R31" i="11"/>
  <c r="R35" i="11"/>
  <c r="R39" i="11"/>
  <c r="R11" i="11"/>
  <c r="R19" i="11"/>
  <c r="N16" i="11" a="1"/>
  <c r="N16" i="11" s="1"/>
  <c r="N24" i="11" a="1"/>
  <c r="N24" i="11" s="1"/>
  <c r="R32" i="11"/>
  <c r="R36" i="11"/>
  <c r="R40" i="11"/>
  <c r="E20" i="10"/>
  <c r="F20" i="10" s="1"/>
  <c r="E32" i="10"/>
  <c r="F32" i="10" s="1"/>
  <c r="N28" i="11" a="1"/>
  <c r="N28" i="11" s="1"/>
  <c r="R28" i="11"/>
  <c r="N11" i="11" a="1"/>
  <c r="N11" i="11" s="1"/>
  <c r="R12" i="11"/>
  <c r="N15" i="11" a="1"/>
  <c r="N15" i="11" s="1"/>
  <c r="R16" i="11"/>
  <c r="N19" i="11" a="1"/>
  <c r="N19" i="11" s="1"/>
  <c r="R20" i="11"/>
  <c r="N23" i="11" a="1"/>
  <c r="N23" i="11" s="1"/>
  <c r="R24" i="11"/>
  <c r="N27" i="11" a="1"/>
  <c r="N27" i="11" s="1"/>
  <c r="N14" i="11" a="1"/>
  <c r="N14" i="11" s="1"/>
  <c r="N18" i="11" a="1"/>
  <c r="N18" i="11" s="1"/>
  <c r="N22" i="11" a="1"/>
  <c r="N22" i="11" s="1"/>
  <c r="N26" i="11" a="1"/>
  <c r="N26" i="11" s="1"/>
  <c r="N13" i="11" a="1"/>
  <c r="N13" i="11" s="1"/>
  <c r="N17" i="11" a="1"/>
  <c r="N17" i="11" s="1"/>
  <c r="N21" i="11" a="1"/>
  <c r="N21" i="11" s="1"/>
  <c r="N25" i="11" a="1"/>
  <c r="N25" i="11" s="1"/>
  <c r="N29" i="11" a="1"/>
  <c r="N29" i="11" s="1"/>
  <c r="E32" i="2"/>
  <c r="F32" i="2" s="1"/>
  <c r="E20" i="2"/>
  <c r="F20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 Crescenzo Enrico</author>
  </authors>
  <commentList>
    <comment ref="G9" authorId="0" shapeId="0" xr:uid="{74C50837-8573-4870-A007-5AAC8F6F199B}">
      <text>
        <r>
          <rPr>
            <b/>
            <sz val="9"/>
            <color indexed="81"/>
            <rFont val="Tahoma"/>
            <charset val="1"/>
          </rPr>
          <t>de Crescenzo Enrico:</t>
        </r>
        <r>
          <rPr>
            <sz val="9"/>
            <color indexed="81"/>
            <rFont val="Tahoma"/>
            <charset val="1"/>
          </rPr>
          <t xml:space="preserve">
There's a SWITCH here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4103701-5CA6-421E-BA50-3AE95B77131A}" keepAlive="1" name="Query - TableOfContents" description="Connection to the 'TableOfContents' query in the workbook." type="5" refreshedVersion="7" background="1" saveData="1">
    <dbPr connection="Provider=Microsoft.Mashup.OleDb.1;Data Source=$Workbook$;Location=TableOfContents;Extended Properties=&quot;&quot;" command="SELECT * FROM [TableOfContents]"/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<sst xmlns="http://schemas.openxmlformats.org/spreadsheetml/2006/main" count="794" uniqueCount="205">
  <si>
    <t>A</t>
  </si>
  <si>
    <t>B</t>
  </si>
  <si>
    <t>C</t>
  </si>
  <si>
    <t>D</t>
  </si>
  <si>
    <t>E</t>
  </si>
  <si>
    <t>Pietro</t>
  </si>
  <si>
    <t>Marco</t>
  </si>
  <si>
    <t>Chiara</t>
  </si>
  <si>
    <t>PIZZA BI</t>
  </si>
  <si>
    <t>XIRR &amp; XNPV</t>
  </si>
  <si>
    <t>XOR</t>
  </si>
  <si>
    <t>XLOOKUP</t>
  </si>
  <si>
    <t>XMATCH</t>
  </si>
  <si>
    <t>XOR
exclusive OR</t>
  </si>
  <si>
    <t>Client</t>
  </si>
  <si>
    <t>Maurizio</t>
  </si>
  <si>
    <t>Paolo</t>
  </si>
  <si>
    <t>Mario</t>
  </si>
  <si>
    <t>Pizza BI Central</t>
  </si>
  <si>
    <t>Pizza BI by the lake</t>
  </si>
  <si>
    <t>Carolina</t>
  </si>
  <si>
    <t>Martina</t>
  </si>
  <si>
    <t>Matilde</t>
  </si>
  <si>
    <t>Margherita</t>
  </si>
  <si>
    <t>Lorenzo</t>
  </si>
  <si>
    <t>XOR will return an TRUE if an odd number evaluate to TRUE,</t>
  </si>
  <si>
    <t>and FALSE when an even number of them evaluate to TRUE.</t>
  </si>
  <si>
    <t>Employee</t>
  </si>
  <si>
    <t>Punch the clock</t>
  </si>
  <si>
    <t>Mario Rossi</t>
  </si>
  <si>
    <t>Maria Bianchi</t>
  </si>
  <si>
    <t>Federico Neri</t>
  </si>
  <si>
    <t>Francesco Russo</t>
  </si>
  <si>
    <t>Antonio Renzi</t>
  </si>
  <si>
    <t>Giulia Fontana</t>
  </si>
  <si>
    <t>Sabrina Costa</t>
  </si>
  <si>
    <t>Roberta Ferrari</t>
  </si>
  <si>
    <t>Giulio Gemma</t>
  </si>
  <si>
    <t>Ferdinando Gentile</t>
  </si>
  <si>
    <t>Marinara</t>
  </si>
  <si>
    <t>Napoletana</t>
  </si>
  <si>
    <t>Romana</t>
  </si>
  <si>
    <t>4Stagioni</t>
  </si>
  <si>
    <t>Capricciosa</t>
  </si>
  <si>
    <t>Diavola</t>
  </si>
  <si>
    <t>SalsicciaFriarielli</t>
  </si>
  <si>
    <t>Calzone</t>
  </si>
  <si>
    <t>Bufala</t>
  </si>
  <si>
    <t>Prosciutto Crudo</t>
  </si>
  <si>
    <t>Prosciutto e Funghi</t>
  </si>
  <si>
    <t>Boscaiola</t>
  </si>
  <si>
    <t>Zucchine e pancetta</t>
  </si>
  <si>
    <t>Tonno e cipolla</t>
  </si>
  <si>
    <t>Tirolese</t>
  </si>
  <si>
    <t>Pugliese</t>
  </si>
  <si>
    <t>4formaggi</t>
  </si>
  <si>
    <t>Carciofini</t>
  </si>
  <si>
    <t>Peperoni</t>
  </si>
  <si>
    <t>Wurstel</t>
  </si>
  <si>
    <t>Hawaii</t>
  </si>
  <si>
    <t>Menu Pizza BI Central</t>
  </si>
  <si>
    <t>MenuPizza BI by the lake</t>
  </si>
  <si>
    <t>Who's missing?</t>
  </si>
  <si>
    <t>Period</t>
  </si>
  <si>
    <t>Cash Flow</t>
  </si>
  <si>
    <t>XNPV</t>
  </si>
  <si>
    <t>NPV</t>
  </si>
  <si>
    <t>Rate</t>
  </si>
  <si>
    <t>Take an order (very quick)</t>
  </si>
  <si>
    <t>LOOKUP</t>
  </si>
  <si>
    <t>REVERSE</t>
  </si>
  <si>
    <t>Enrico de Crescenzo</t>
  </si>
  <si>
    <t>WorkbookPath</t>
  </si>
  <si>
    <t>Source: https://awwmemes.com/</t>
  </si>
  <si>
    <t>https://enricodecrescenzo.com/</t>
  </si>
  <si>
    <t>https://www.meetup.com/PowerExcel-Zurich-Meetup/</t>
  </si>
  <si>
    <t>https://www.linkedin.com/in/enricodecrescenzo/</t>
  </si>
  <si>
    <t>(under construction)</t>
  </si>
  <si>
    <t>XOR Test 1</t>
  </si>
  <si>
    <t>XOR Test 2</t>
  </si>
  <si>
    <t>A better result</t>
  </si>
  <si>
    <t>Locations</t>
  </si>
  <si>
    <t>XNPV &amp; XIRR</t>
  </si>
  <si>
    <t>XNPV &amp; XIRR (2)</t>
  </si>
  <si>
    <t>XOR (2)</t>
  </si>
  <si>
    <t>SheetName</t>
  </si>
  <si>
    <t>About and Summary</t>
  </si>
  <si>
    <t>TABLE OF CONTENTS</t>
  </si>
  <si>
    <t>Home</t>
  </si>
  <si>
    <t>XLOOKUP (as an array formula)</t>
  </si>
  <si>
    <t>Category</t>
  </si>
  <si>
    <t>Pizza</t>
  </si>
  <si>
    <t>Quantity</t>
  </si>
  <si>
    <t>Rating</t>
  </si>
  <si>
    <t>Last purchase</t>
  </si>
  <si>
    <t>Classic</t>
  </si>
  <si>
    <t>Specials</t>
  </si>
  <si>
    <t>=INDEX(TblPizza[Category],MATCH(I20,TblPizza[Pizza],0))</t>
  </si>
  <si>
    <t>=XLOOKUP(I21,TblPizza[Pizza],CHOOSE({1,2},TblPizza[Category],TblPizza[Rating]))</t>
  </si>
  <si>
    <t>XLOOKUP (error handling)</t>
  </si>
  <si>
    <t>marrr</t>
  </si>
  <si>
    <t>Pugl</t>
  </si>
  <si>
    <t>HAAA</t>
  </si>
  <si>
    <t>XLOOKUP (approximate match)</t>
  </si>
  <si>
    <t>Comment XLOOKUP</t>
  </si>
  <si>
    <t>Comment INDEX MATCH</t>
  </si>
  <si>
    <t>Comment VLOOKUP</t>
  </si>
  <si>
    <t>Comment</t>
  </si>
  <si>
    <t>Worst Seller</t>
  </si>
  <si>
    <t>=XLOOKUP([@Quantity],$K$7:$K$10,$L$7:$L$10,,-1)</t>
  </si>
  <si>
    <t>Below Average</t>
  </si>
  <si>
    <t>Superstar</t>
  </si>
  <si>
    <t>Above Average</t>
  </si>
  <si>
    <t>Best Seller</t>
  </si>
  <si>
    <t>XLOOKUP (use the wildcard)</t>
  </si>
  <si>
    <t>Quantity Today</t>
  </si>
  <si>
    <t>Quantity Yesterday</t>
  </si>
  <si>
    <t>Change</t>
  </si>
  <si>
    <t>Napo</t>
  </si>
  <si>
    <t>Friar</t>
  </si>
  <si>
    <t>Marinar</t>
  </si>
  <si>
    <t>Prosciutto</t>
  </si>
  <si>
    <t>*</t>
  </si>
  <si>
    <t>=XLOOKUP(I7&amp;"*",TblPizza5[Pizza],TblPizza5[[Quantity Today]:[Change]],,2)</t>
  </si>
  <si>
    <t>=XLOOKUP("*"&amp;I8&amp;"*",TblPizza5[Pizza],TblPizza5[[Quantity Today]:[Change]],,2)</t>
  </si>
  <si>
    <t>=XLOOKUP(I9&amp;"?",TblPizza5[Pizza],TblPizza5[[Quantity Today]:[Change]],,2)</t>
  </si>
  <si>
    <t>=XLOOKUP(I10&amp;"*",TblPizza5[Pizza],TblPizza5[[Quantity Today]:[Change]],,2)</t>
  </si>
  <si>
    <t>=XLOOKUP(I11&amp;"~*",TblPizza5[Pizza],TblPizza5[[Quantity Today]:[Change]],,2)</t>
  </si>
  <si>
    <t>ProsciuttoC</t>
  </si>
  <si>
    <t>Boscaiola*</t>
  </si>
  <si>
    <t>A wildcard match where *, ?, and ~ have special meaning</t>
  </si>
  <si>
    <t>XLOOKUP(I7,TblPizza6[Date],TblPizza6[Sales]):XLOOKUP(J7,TblPizza6[Date],TblPizza6[Sales])</t>
  </si>
  <si>
    <t>=SUM(XLOOKUP(I7,TblPizza6[Date],TblPizza6[Sales]):XLOOKUP(J7,TblPizza6[Date],TblPizza6[Sales]))</t>
  </si>
  <si>
    <t>Sales</t>
  </si>
  <si>
    <t>to</t>
  </si>
  <si>
    <t>From</t>
  </si>
  <si>
    <t>Date</t>
  </si>
  <si>
    <t>XLOOKUP (dynamic range)</t>
  </si>
  <si>
    <t>XLOOKUP (embedded in another XLOOKUP formula)</t>
  </si>
  <si>
    <t>Using XLOOKUP</t>
  </si>
  <si>
    <t>Month</t>
  </si>
  <si>
    <t>Jan</t>
  </si>
  <si>
    <t>May</t>
  </si>
  <si>
    <t>=XLOOKUP(H7,TblPizza3[Month],XLOOKUP(I7,TblPizza3[[#Headers],[Margherita]:[Napoletana]],TblPizza3[[Margherita]:[Napoletana]]))</t>
  </si>
  <si>
    <t>Feb</t>
  </si>
  <si>
    <t>Mar</t>
  </si>
  <si>
    <t>Apr</t>
  </si>
  <si>
    <t>Jun</t>
  </si>
  <si>
    <t>Jul</t>
  </si>
  <si>
    <t>Using INDEX MATCH MATCH</t>
  </si>
  <si>
    <t>Aug</t>
  </si>
  <si>
    <t>Sep</t>
  </si>
  <si>
    <t>=INDEX(TblPizza3[[Margherita]:[Napoletana]],MATCH(H7,TblPizza3[Month],0),MATCH(I7,TblPizza3[[#Headers],[Margherita]:[Napoletana]],0))</t>
  </si>
  <si>
    <t>Oct</t>
  </si>
  <si>
    <t>Nov</t>
  </si>
  <si>
    <t>Dec</t>
  </si>
  <si>
    <t>XLOOKUP (multiple criteria match)</t>
  </si>
  <si>
    <t>Location</t>
  </si>
  <si>
    <t>Notes</t>
  </si>
  <si>
    <t>=XLOOKUP(H7&amp;I7,TblPizza8[Date]&amp;TblPizza8[Pizza],TblPizza8[[Sales]:[Rating]],"not found")</t>
  </si>
  <si>
    <t>Verona</t>
  </si>
  <si>
    <t>no comment</t>
  </si>
  <si>
    <t>London</t>
  </si>
  <si>
    <t>not well cooked</t>
  </si>
  <si>
    <t>Zurich</t>
  </si>
  <si>
    <t>too spicy</t>
  </si>
  <si>
    <t>As an Array formula</t>
  </si>
  <si>
    <t>Error Handling</t>
  </si>
  <si>
    <t>Approximate Match</t>
  </si>
  <si>
    <t>Wildcard</t>
  </si>
  <si>
    <t>Dynamic Range</t>
  </si>
  <si>
    <t>Embedded</t>
  </si>
  <si>
    <r>
      <rPr>
        <b/>
        <sz val="10"/>
        <color rgb="FF1D6F42"/>
        <rFont val="Calibri"/>
        <family val="2"/>
        <scheme val="minor"/>
      </rPr>
      <t>Asterisk (*)</t>
    </r>
    <r>
      <rPr>
        <sz val="10"/>
        <color rgb="FF1D6F42"/>
        <rFont val="Calibri"/>
        <family val="2"/>
        <scheme val="minor"/>
      </rPr>
      <t xml:space="preserve"> - any number of character</t>
    </r>
  </si>
  <si>
    <r>
      <rPr>
        <b/>
        <sz val="10"/>
        <color rgb="FF1D6F42"/>
        <rFont val="Calibri"/>
        <family val="2"/>
        <scheme val="minor"/>
      </rPr>
      <t>Question mark (?)</t>
    </r>
    <r>
      <rPr>
        <sz val="10"/>
        <color rgb="FF1D6F42"/>
        <rFont val="Calibri"/>
        <family val="2"/>
        <scheme val="minor"/>
      </rPr>
      <t xml:space="preserve"> - one single character</t>
    </r>
  </si>
  <si>
    <r>
      <rPr>
        <b/>
        <sz val="10"/>
        <color rgb="FF1D6F42"/>
        <rFont val="Calibri"/>
        <family val="2"/>
        <scheme val="minor"/>
      </rPr>
      <t>Tilde (~)</t>
    </r>
    <r>
      <rPr>
        <sz val="10"/>
        <color rgb="FF1D6F42"/>
        <rFont val="Calibri"/>
        <family val="2"/>
        <scheme val="minor"/>
      </rPr>
      <t xml:space="preserve"> - a wildcard character</t>
    </r>
  </si>
  <si>
    <t>NPV &amp; XNPV</t>
  </si>
  <si>
    <t>IRR &amp; XIRR</t>
  </si>
  <si>
    <t>XOR (2 items)</t>
  </si>
  <si>
    <t>XOR (2+ items)</t>
  </si>
  <si>
    <t>Table1</t>
  </si>
  <si>
    <t>Table2</t>
  </si>
  <si>
    <t>Table3</t>
  </si>
  <si>
    <t>Table4</t>
  </si>
  <si>
    <t>Table5</t>
  </si>
  <si>
    <t>XMATCH (2)</t>
  </si>
  <si>
    <t>XMATCH (3)</t>
  </si>
  <si>
    <t>Multiple Criteria</t>
  </si>
  <si>
    <t>Thanks and enjoy your</t>
  </si>
  <si>
    <t xml:space="preserve">=XLOOKUP(lookup_value, lookup_array, return_array, [if_not_found], [match_mode], [search_mode]) </t>
  </si>
  <si>
    <t>Thanks</t>
  </si>
  <si>
    <t>new recipes</t>
  </si>
  <si>
    <t>Pizza List</t>
  </si>
  <si>
    <t>Price</t>
  </si>
  <si>
    <t>COUNT</t>
  </si>
  <si>
    <t>XOR (1)</t>
  </si>
  <si>
    <t>Central</t>
  </si>
  <si>
    <t>By the lake</t>
  </si>
  <si>
    <t>TargetSales</t>
  </si>
  <si>
    <t>XLOOKUP (inside conditional formatting)</t>
  </si>
  <si>
    <t>Dynamic Range (2)</t>
  </si>
  <si>
    <t>Pro*</t>
  </si>
  <si>
    <t>*cia*</t>
  </si>
  <si>
    <t>try to return array of array XLOOKUP</t>
  </si>
  <si>
    <t>try to return array of array FILTER</t>
  </si>
  <si>
    <t>=FILTER(C22:C43,ISNA(XMATCH(C22:C43,E22:E39)))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</si>
</sst>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£&quot;#,##0.00;[Red]\-&quot;£&quot;#,##0.00"/>
    <numFmt numFmtId="43" formatCode="_-* #,##0.00_-;\-* #,##0.00_-;_-* &quot;-&quot;??_-;_-@_-"/>
    <numFmt numFmtId="164" formatCode="_-* #,##0_-;\-* #,##0_-;_-* &quot;-&quot;??_-;_-@_-"/>
    <numFmt numFmtId="165" formatCode="_-[$€-2]\ * #,##0_ ;_-[$€-2]\ * \-#,##0\ ;_-[$€-2]\ * &quot;-&quot;??_ ;_-@_ "/>
    <numFmt numFmtId="166" formatCode="dd/mm/yy;@"/>
    <numFmt numFmtId="167" formatCode="_-[$€-2]\ * #,##0.00_ ;_-[$€-2]\ * \-#,##0.00\ ;_-[$€-2]\ * &quot;-&quot;??_ ;_-@_ "/>
    <numFmt numFmtId="168" formatCode="[hh]:mm"/>
    <numFmt numFmtId="169" formatCode="_-[$£-809]* #,##0_-;\-[$£-809]* #,##0_-;_-[$£-809]* &quot;-&quot;??_-;_-@_-"/>
  </numFmts>
  <fonts count="24">
    <font>
      <sz val="10"/>
      <color theme="1"/>
      <name val="Body Font"/>
      <family val="2"/>
    </font>
    <font>
      <sz val="10"/>
      <color rgb="FF1D6F42"/>
      <name val="Body Font"/>
      <family val="2"/>
    </font>
    <font>
      <b/>
      <sz val="18"/>
      <color rgb="FF1D6F42"/>
      <name val="Engravers MT"/>
      <family val="1"/>
    </font>
    <font>
      <b/>
      <sz val="18"/>
      <color theme="0"/>
      <name val="Engravers MT"/>
      <family val="1"/>
    </font>
    <font>
      <b/>
      <sz val="10"/>
      <color rgb="FF1D6F42"/>
      <name val="Body Font"/>
    </font>
    <font>
      <sz val="10"/>
      <color rgb="FF1D6F42"/>
      <name val="Body Font"/>
    </font>
    <font>
      <sz val="36"/>
      <color rgb="FF1D6F42"/>
      <name val="Body Font"/>
      <family val="2"/>
    </font>
    <font>
      <u/>
      <sz val="10"/>
      <color theme="10"/>
      <name val="Body Font"/>
      <family val="2"/>
    </font>
    <font>
      <sz val="10"/>
      <color rgb="FF1D6F4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1D6F42"/>
      <name val="Calibri"/>
      <family val="2"/>
      <scheme val="minor"/>
    </font>
    <font>
      <b/>
      <u/>
      <sz val="10"/>
      <color rgb="FF1D6F42"/>
      <name val="Body Font"/>
    </font>
    <font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9"/>
      <color rgb="FF1D6F42"/>
      <name val="Calibri"/>
      <family val="2"/>
      <scheme val="minor"/>
    </font>
    <font>
      <sz val="12"/>
      <color rgb="FF1D6F42"/>
      <name val="Calibri"/>
      <family val="2"/>
      <scheme val="minor"/>
    </font>
    <font>
      <sz val="11"/>
      <color rgb="FF1D6F42"/>
      <name val="Calibri"/>
      <family val="2"/>
      <scheme val="minor"/>
    </font>
    <font>
      <b/>
      <sz val="18"/>
      <color rgb="FF1D6F42"/>
      <name val="Calibri"/>
      <family val="2"/>
      <scheme val="minor"/>
    </font>
    <font>
      <u/>
      <sz val="10"/>
      <color theme="10"/>
      <name val="Calibri"/>
      <family val="2"/>
      <scheme val="minor"/>
    </font>
    <font>
      <u/>
      <sz val="10"/>
      <color rgb="FF1D6F42"/>
      <name val="Calibri"/>
      <family val="2"/>
      <scheme val="minor"/>
    </font>
    <font>
      <sz val="8"/>
      <name val="Body Font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2">
    <fill>
      <patternFill patternType="none"/>
    </fill>
    <fill>
      <patternFill patternType="gray125"/>
    </fill>
    <fill>
      <patternFill patternType="solid">
        <fgColor rgb="FF1D6F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9"/>
      </bottom>
      <diagonal/>
    </border>
    <border>
      <left/>
      <right/>
      <top style="thick">
        <color theme="9"/>
      </top>
      <bottom/>
      <diagonal/>
    </border>
    <border>
      <left style="thin">
        <color theme="9"/>
      </left>
      <right/>
      <top style="thin">
        <color theme="9"/>
      </top>
      <bottom/>
      <diagonal/>
    </border>
    <border>
      <left/>
      <right/>
      <top style="thin">
        <color theme="9"/>
      </top>
      <bottom/>
      <diagonal/>
    </border>
    <border>
      <left/>
      <right/>
      <top/>
      <bottom style="thick">
        <color rgb="FF1D6F42"/>
      </bottom>
      <diagonal/>
    </border>
  </borders>
  <cellStyleXfs count="5">
    <xf numFmtId="0" fontId="0" fillId="0" borderId="0"/>
    <xf numFmtId="0" fontId="7" fillId="0" borderId="0" applyNumberForma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112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4" fillId="0" borderId="1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1" fillId="0" borderId="0" xfId="0" applyFont="1"/>
    <xf numFmtId="0" fontId="6" fillId="0" borderId="0" xfId="0" applyFont="1"/>
    <xf numFmtId="0" fontId="7" fillId="0" borderId="0" xfId="1"/>
    <xf numFmtId="0" fontId="8" fillId="0" borderId="0" xfId="0" applyFont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10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 applyNumberFormat="1"/>
    <xf numFmtId="0" fontId="12" fillId="0" borderId="0" xfId="0" applyFont="1"/>
    <xf numFmtId="0" fontId="7" fillId="0" borderId="0" xfId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1" fillId="0" borderId="4" xfId="2" applyFont="1" applyBorder="1" applyAlignment="1">
      <alignment vertical="center"/>
    </xf>
    <xf numFmtId="0" fontId="8" fillId="0" borderId="0" xfId="2" applyFont="1" applyAlignment="1">
      <alignment vertical="center"/>
    </xf>
    <xf numFmtId="9" fontId="8" fillId="0" borderId="0" xfId="2" applyNumberFormat="1" applyFont="1" applyAlignment="1">
      <alignment horizontal="center" vertical="center"/>
    </xf>
    <xf numFmtId="15" fontId="8" fillId="0" borderId="0" xfId="2" applyNumberFormat="1" applyFont="1" applyAlignment="1">
      <alignment horizontal="center" vertical="center"/>
    </xf>
    <xf numFmtId="0" fontId="11" fillId="0" borderId="0" xfId="2" applyFont="1" applyAlignment="1">
      <alignment horizontal="center" vertical="center"/>
    </xf>
    <xf numFmtId="15" fontId="8" fillId="0" borderId="0" xfId="2" applyNumberFormat="1" applyFont="1" applyAlignment="1">
      <alignment vertical="center"/>
    </xf>
    <xf numFmtId="0" fontId="13" fillId="2" borderId="0" xfId="2" applyFont="1" applyFill="1" applyAlignment="1">
      <alignment vertical="center"/>
    </xf>
    <xf numFmtId="0" fontId="9" fillId="2" borderId="6" xfId="2" applyNumberFormat="1" applyFont="1" applyFill="1" applyBorder="1" applyAlignment="1">
      <alignment vertical="center"/>
    </xf>
    <xf numFmtId="0" fontId="9" fillId="2" borderId="7" xfId="2" applyNumberFormat="1" applyFont="1" applyFill="1" applyBorder="1" applyAlignment="1">
      <alignment vertical="center"/>
    </xf>
    <xf numFmtId="0" fontId="8" fillId="0" borderId="0" xfId="2" applyFont="1"/>
    <xf numFmtId="0" fontId="11" fillId="0" borderId="8" xfId="2" applyFont="1" applyBorder="1" applyAlignment="1">
      <alignment vertical="center"/>
    </xf>
    <xf numFmtId="0" fontId="8" fillId="0" borderId="8" xfId="2" applyFont="1" applyBorder="1" applyAlignment="1">
      <alignment vertical="center"/>
    </xf>
    <xf numFmtId="0" fontId="9" fillId="2" borderId="4" xfId="2" applyFont="1" applyFill="1" applyBorder="1" applyAlignment="1">
      <alignment vertical="center"/>
    </xf>
    <xf numFmtId="0" fontId="8" fillId="6" borderId="0" xfId="2" applyFont="1" applyFill="1" applyAlignment="1">
      <alignment vertical="center"/>
    </xf>
    <xf numFmtId="0" fontId="8" fillId="5" borderId="0" xfId="2" applyFont="1" applyFill="1" applyAlignment="1">
      <alignment vertical="center"/>
    </xf>
    <xf numFmtId="0" fontId="8" fillId="7" borderId="0" xfId="2" applyFont="1" applyFill="1" applyAlignment="1">
      <alignment vertical="center"/>
    </xf>
    <xf numFmtId="0" fontId="8" fillId="8" borderId="0" xfId="2" applyFont="1" applyFill="1" applyAlignment="1">
      <alignment vertical="center"/>
    </xf>
    <xf numFmtId="0" fontId="8" fillId="9" borderId="0" xfId="2" applyFont="1" applyFill="1" applyAlignment="1">
      <alignment vertical="center"/>
    </xf>
    <xf numFmtId="0" fontId="8" fillId="0" borderId="0" xfId="2" quotePrefix="1" applyFont="1"/>
    <xf numFmtId="164" fontId="8" fillId="0" borderId="0" xfId="2" applyNumberFormat="1" applyFont="1" applyAlignment="1">
      <alignment horizontal="center" vertical="center"/>
    </xf>
    <xf numFmtId="0" fontId="14" fillId="5" borderId="0" xfId="2" applyFont="1" applyFill="1"/>
    <xf numFmtId="0" fontId="14" fillId="7" borderId="0" xfId="2" applyFont="1" applyFill="1"/>
    <xf numFmtId="0" fontId="14" fillId="6" borderId="0" xfId="2" applyFont="1" applyFill="1"/>
    <xf numFmtId="0" fontId="14" fillId="8" borderId="0" xfId="2" applyFont="1" applyFill="1"/>
    <xf numFmtId="0" fontId="14" fillId="9" borderId="0" xfId="2" applyFont="1" applyFill="1"/>
    <xf numFmtId="166" fontId="8" fillId="0" borderId="0" xfId="2" applyNumberFormat="1" applyFont="1" applyAlignment="1">
      <alignment vertical="center"/>
    </xf>
    <xf numFmtId="165" fontId="8" fillId="0" borderId="0" xfId="2" applyNumberFormat="1" applyFont="1" applyAlignment="1">
      <alignment vertical="center"/>
    </xf>
    <xf numFmtId="14" fontId="8" fillId="0" borderId="0" xfId="2" applyNumberFormat="1" applyFont="1" applyAlignment="1">
      <alignment vertical="center"/>
    </xf>
    <xf numFmtId="9" fontId="8" fillId="0" borderId="5" xfId="2" applyNumberFormat="1" applyFont="1" applyBorder="1" applyAlignment="1">
      <alignment horizontal="center" vertical="center"/>
    </xf>
    <xf numFmtId="164" fontId="8" fillId="0" borderId="0" xfId="3" applyNumberFormat="1" applyFont="1" applyAlignment="1">
      <alignment horizontal="center" vertical="center"/>
    </xf>
    <xf numFmtId="9" fontId="8" fillId="0" borderId="0" xfId="4" applyFont="1" applyAlignment="1">
      <alignment horizontal="center" vertical="center"/>
    </xf>
    <xf numFmtId="0" fontId="19" fillId="0" borderId="0" xfId="1" applyFont="1" applyAlignment="1">
      <alignment vertical="center"/>
    </xf>
    <xf numFmtId="0" fontId="18" fillId="0" borderId="0" xfId="0" applyFont="1" applyAlignment="1">
      <alignment horizontal="center" vertical="center"/>
    </xf>
    <xf numFmtId="165" fontId="8" fillId="0" borderId="0" xfId="3" applyNumberFormat="1" applyFont="1" applyAlignment="1">
      <alignment horizontal="center" vertical="center"/>
    </xf>
    <xf numFmtId="167" fontId="8" fillId="0" borderId="0" xfId="3" applyNumberFormat="1" applyFont="1" applyAlignment="1">
      <alignment horizontal="center" vertical="center"/>
    </xf>
    <xf numFmtId="164" fontId="8" fillId="0" borderId="0" xfId="3" applyNumberFormat="1" applyFont="1"/>
    <xf numFmtId="10" fontId="8" fillId="0" borderId="0" xfId="0" applyNumberFormat="1" applyFont="1" applyAlignment="1">
      <alignment vertical="center"/>
    </xf>
    <xf numFmtId="8" fontId="8" fillId="0" borderId="0" xfId="0" applyNumberFormat="1" applyFont="1" applyAlignment="1">
      <alignment vertical="center"/>
    </xf>
    <xf numFmtId="15" fontId="8" fillId="0" borderId="0" xfId="0" applyNumberFormat="1" applyFont="1" applyAlignment="1">
      <alignment horizontal="center" vertical="center"/>
    </xf>
    <xf numFmtId="0" fontId="20" fillId="0" borderId="0" xfId="1" applyFont="1" applyAlignment="1">
      <alignment vertical="center"/>
    </xf>
    <xf numFmtId="0" fontId="8" fillId="0" borderId="0" xfId="0" applyFont="1"/>
    <xf numFmtId="15" fontId="8" fillId="3" borderId="0" xfId="0" applyNumberFormat="1" applyFont="1" applyFill="1" applyAlignment="1">
      <alignment horizontal="center" vertical="center"/>
    </xf>
    <xf numFmtId="0" fontId="13" fillId="2" borderId="0" xfId="0" applyFont="1" applyFill="1" applyAlignment="1">
      <alignment vertical="center"/>
    </xf>
    <xf numFmtId="0" fontId="13" fillId="2" borderId="0" xfId="0" applyFont="1" applyFill="1" applyAlignment="1">
      <alignment horizontal="center" vertical="center"/>
    </xf>
    <xf numFmtId="16" fontId="8" fillId="0" borderId="0" xfId="0" applyNumberFormat="1" applyFont="1" applyAlignment="1">
      <alignment vertical="center"/>
    </xf>
    <xf numFmtId="0" fontId="8" fillId="4" borderId="0" xfId="0" applyFont="1" applyFill="1" applyAlignment="1">
      <alignment horizontal="center" vertical="center"/>
    </xf>
    <xf numFmtId="15" fontId="8" fillId="0" borderId="0" xfId="0" applyNumberFormat="1" applyFont="1" applyAlignment="1">
      <alignment vertical="center"/>
    </xf>
    <xf numFmtId="0" fontId="10" fillId="0" borderId="0" xfId="0" applyFont="1" applyAlignment="1">
      <alignment horizontal="center" vertical="center"/>
    </xf>
    <xf numFmtId="22" fontId="8" fillId="0" borderId="0" xfId="0" applyNumberFormat="1" applyFont="1" applyAlignment="1">
      <alignment vertical="center"/>
    </xf>
    <xf numFmtId="20" fontId="8" fillId="0" borderId="0" xfId="0" applyNumberFormat="1" applyFont="1" applyAlignment="1">
      <alignment vertical="center"/>
    </xf>
    <xf numFmtId="14" fontId="8" fillId="0" borderId="0" xfId="0" applyNumberFormat="1" applyFont="1" applyAlignment="1">
      <alignment vertical="center"/>
    </xf>
    <xf numFmtId="0" fontId="11" fillId="0" borderId="0" xfId="0" quotePrefix="1" applyFont="1"/>
    <xf numFmtId="0" fontId="11" fillId="0" borderId="1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22" fontId="10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168" fontId="8" fillId="0" borderId="0" xfId="0" applyNumberFormat="1" applyFont="1" applyAlignment="1">
      <alignment vertical="center"/>
    </xf>
    <xf numFmtId="169" fontId="8" fillId="0" borderId="0" xfId="2" applyNumberFormat="1" applyFont="1" applyAlignment="1">
      <alignment vertical="center"/>
    </xf>
    <xf numFmtId="169" fontId="8" fillId="0" borderId="0" xfId="3" applyNumberFormat="1" applyFont="1" applyAlignment="1">
      <alignment horizontal="center" vertical="center"/>
    </xf>
    <xf numFmtId="0" fontId="8" fillId="0" borderId="5" xfId="2" applyFont="1" applyBorder="1" applyAlignment="1">
      <alignment vertical="center"/>
    </xf>
    <xf numFmtId="169" fontId="8" fillId="0" borderId="5" xfId="3" applyNumberFormat="1" applyFont="1" applyBorder="1" applyAlignment="1">
      <alignment horizontal="center" vertical="center"/>
    </xf>
    <xf numFmtId="0" fontId="8" fillId="0" borderId="0" xfId="2" applyFont="1" applyBorder="1" applyAlignment="1">
      <alignment vertical="center"/>
    </xf>
    <xf numFmtId="169" fontId="8" fillId="0" borderId="0" xfId="3" applyNumberFormat="1" applyFont="1" applyBorder="1" applyAlignment="1">
      <alignment horizontal="center" vertical="center"/>
    </xf>
    <xf numFmtId="0" fontId="8" fillId="10" borderId="0" xfId="2" applyFont="1" applyFill="1" applyAlignment="1">
      <alignment vertical="center"/>
    </xf>
    <xf numFmtId="164" fontId="8" fillId="11" borderId="0" xfId="3" applyNumberFormat="1" applyFont="1" applyFill="1" applyAlignment="1">
      <alignment horizontal="center" vertical="center"/>
    </xf>
    <xf numFmtId="164" fontId="8" fillId="8" borderId="0" xfId="3" applyNumberFormat="1" applyFont="1" applyFill="1" applyAlignment="1">
      <alignment horizontal="center" vertical="center"/>
    </xf>
    <xf numFmtId="164" fontId="8" fillId="11" borderId="0" xfId="3" applyNumberFormat="1" applyFont="1" applyFill="1" applyAlignment="1">
      <alignment vertical="center"/>
    </xf>
    <xf numFmtId="164" fontId="8" fillId="8" borderId="0" xfId="3" applyNumberFormat="1" applyFont="1" applyFill="1" applyAlignment="1">
      <alignment vertical="center"/>
    </xf>
    <xf numFmtId="0" fontId="8" fillId="11" borderId="0" xfId="2" applyFont="1" applyFill="1" applyAlignment="1">
      <alignment vertical="center"/>
    </xf>
    <xf numFmtId="165" fontId="8" fillId="8" borderId="0" xfId="2" applyNumberFormat="1" applyFont="1" applyFill="1" applyAlignment="1">
      <alignment vertical="center"/>
    </xf>
    <xf numFmtId="169" fontId="8" fillId="8" borderId="0" xfId="2" applyNumberFormat="1" applyFont="1" applyFill="1" applyAlignment="1">
      <alignment vertical="center"/>
    </xf>
    <xf numFmtId="169" fontId="8" fillId="11" borderId="0" xfId="2" applyNumberFormat="1" applyFont="1" applyFill="1" applyAlignment="1">
      <alignment vertical="center"/>
    </xf>
    <xf numFmtId="169" fontId="8" fillId="8" borderId="7" xfId="3" applyNumberFormat="1" applyFont="1" applyFill="1" applyBorder="1" applyAlignment="1">
      <alignment horizontal="center" vertical="center"/>
    </xf>
    <xf numFmtId="8" fontId="8" fillId="11" borderId="0" xfId="0" applyNumberFormat="1" applyFont="1" applyFill="1" applyAlignment="1">
      <alignment vertical="center"/>
    </xf>
    <xf numFmtId="8" fontId="8" fillId="8" borderId="0" xfId="0" applyNumberFormat="1" applyFont="1" applyFill="1" applyAlignment="1">
      <alignment vertical="center"/>
    </xf>
    <xf numFmtId="10" fontId="8" fillId="8" borderId="0" xfId="0" applyNumberFormat="1" applyFont="1" applyFill="1" applyAlignment="1">
      <alignment vertical="center"/>
    </xf>
    <xf numFmtId="10" fontId="8" fillId="11" borderId="0" xfId="0" applyNumberFormat="1" applyFont="1" applyFill="1" applyAlignment="1">
      <alignment vertical="center"/>
    </xf>
    <xf numFmtId="0" fontId="8" fillId="8" borderId="0" xfId="0" applyFont="1" applyFill="1" applyAlignment="1">
      <alignment vertical="center"/>
    </xf>
    <xf numFmtId="0" fontId="8" fillId="8" borderId="0" xfId="0" applyFont="1" applyFill="1" applyAlignment="1">
      <alignment horizontal="center" vertical="center"/>
    </xf>
    <xf numFmtId="0" fontId="5" fillId="8" borderId="0" xfId="0" applyFont="1" applyFill="1" applyAlignment="1">
      <alignment vertical="center"/>
    </xf>
    <xf numFmtId="0" fontId="5" fillId="11" borderId="0" xfId="0" applyFont="1" applyFill="1" applyAlignment="1">
      <alignment vertical="center"/>
    </xf>
    <xf numFmtId="0" fontId="2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8" fillId="0" borderId="0" xfId="2" applyFont="1" applyAlignment="1">
      <alignment horizontal="center" vertical="center" wrapText="1"/>
    </xf>
    <xf numFmtId="0" fontId="15" fillId="0" borderId="0" xfId="2" applyFont="1" applyAlignment="1">
      <alignment vertical="center" wrapText="1"/>
    </xf>
    <xf numFmtId="0" fontId="8" fillId="0" borderId="0" xfId="2" applyFont="1" applyAlignment="1">
      <alignment vertical="center" wrapText="1"/>
    </xf>
    <xf numFmtId="0" fontId="16" fillId="0" borderId="0" xfId="2" applyFont="1" applyAlignment="1">
      <alignment horizontal="center" vertical="center" wrapText="1"/>
    </xf>
    <xf numFmtId="0" fontId="17" fillId="0" borderId="0" xfId="2" applyFont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0" fillId="0" borderId="0" xfId="0" applyFont="1" applyAlignment="1">
      <alignment vertical="center" wrapText="1"/>
    </xf>
    <xf numFmtId="0" fontId="1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</cellXfs>
  <cellStyles count="5">
    <cellStyle name="Comma 2" xfId="3" xr:uid="{1AEAFCA1-3C27-4505-9839-8910053ADC6E}"/>
    <cellStyle name="Hyperlink" xfId="1" builtinId="8"/>
    <cellStyle name="Normal" xfId="0" builtinId="0"/>
    <cellStyle name="Normal 2" xfId="2" xr:uid="{65F3B622-B76C-4A09-AEDE-0BB13C35FFE1}"/>
    <cellStyle name="Percent 2" xfId="4" xr:uid="{B92EC8CF-3775-420C-9AB5-C5DE5F416784}"/>
  </cellStyles>
  <dxfs count="8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1D6F42"/>
      </font>
    </dxf>
    <dxf>
      <font>
        <color rgb="FF9C0006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1D6F42"/>
        <name val="Calibri"/>
        <family val="2"/>
        <scheme val="minor"/>
      </font>
      <numFmt numFmtId="0" formatCode="General"/>
      <fill>
        <patternFill patternType="solid">
          <fgColor indexed="64"/>
          <bgColor theme="9" tint="0.5999938962981048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1D6F42"/>
        <name val="Calibri"/>
        <family val="2"/>
        <scheme val="minor"/>
      </font>
      <numFmt numFmtId="0" formatCode="General"/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1D6F42"/>
        <name val="Calibri"/>
        <family val="2"/>
        <scheme val="minor"/>
      </font>
      <numFmt numFmtId="0" formatCode="General"/>
      <fill>
        <patternFill patternType="solid">
          <fgColor indexed="64"/>
          <bgColor theme="9" tint="0.5999938962981048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1D6F42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1D6F42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1D6F42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1D6F42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numFmt numFmtId="169" formatCode="_-[$£-809]* #,##0_-;\-[$£-809]* #,##0_-;_-[$£-809]* &quot;-&quot;??_-;_-@_-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numFmt numFmtId="166" formatCode="dd/mm/yy;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1D6F42"/>
        </patternFill>
      </fill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numFmt numFmtId="169" formatCode="_-[$£-809]* #,##0_-;\-[$£-809]* #,##0_-;_-[$£-809]* &quot;-&quot;??_-;_-@_-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numFmt numFmtId="169" formatCode="_-[$£-809]* #,##0_-;\-[$£-809]* #,##0_-;_-[$£-809]* &quot;-&quot;??_-;_-@_-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numFmt numFmtId="169" formatCode="_-[$£-809]* #,##0_-;\-[$£-809]* #,##0_-;_-[$£-809]* &quot;-&quot;??_-;_-@_-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numFmt numFmtId="166" formatCode="dd/mm/yy;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1D6F42"/>
        </patternFill>
      </fill>
      <alignment vertical="center" textRotation="0" wrapText="0" indent="0" justifyLastLine="0" shrinkToFit="0" readingOrder="0"/>
    </dxf>
    <dxf>
      <font>
        <color rgb="FF006100"/>
      </font>
      <fill>
        <patternFill>
          <bgColor rgb="FFC6EFCE"/>
        </patternFill>
      </fill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numFmt numFmtId="169" formatCode="_-[$£-809]* #,##0_-;\-[$£-809]* #,##0_-;_-[$£-809]* &quot;-&quot;??_-;_-@_-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1D6F42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numFmt numFmtId="166" formatCode="dd/mm/yy;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1D6F42"/>
        </patternFill>
      </fill>
      <alignment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0070C0"/>
        </patternFill>
      </fill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numFmt numFmtId="165" formatCode="_-[$€-2]\ * #,##0_ ;_-[$€-2]\ * \-#,##0\ ;_-[$€-2]\ * &quot;-&quot;??_ ;_-@_ 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numFmt numFmtId="166" formatCode="dd/mm/yy;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1D6F42"/>
        </patternFill>
      </fill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1D6F42"/>
        <name val="Calibri"/>
        <family val="2"/>
        <scheme val="minor"/>
      </font>
      <numFmt numFmtId="164" formatCode="_-* #,##0_-;\-* #,##0_-;_-* &quot;-&quot;??_-;_-@_-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numFmt numFmtId="164" formatCode="_-* #,##0_-;\-* #,##0_-;_-* &quot;-&quot;??_-;_-@_-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1D6F42"/>
        <name val="Calibri"/>
        <family val="2"/>
        <scheme val="minor"/>
      </font>
      <numFmt numFmtId="164" formatCode="_-* #,##0_-;\-* #,##0_-;_-* &quot;-&quot;??_-;_-@_-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numFmt numFmtId="164" formatCode="_-* #,##0_-;\-* #,##0_-;_-* &quot;-&quot;??_-;_-@_-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1D6F42"/>
        <name val="Calibri"/>
        <family val="2"/>
        <scheme val="minor"/>
      </font>
      <numFmt numFmtId="164" formatCode="_-* #,##0_-;\-* #,##0_-;_-* &quot;-&quot;??_-;_-@_-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numFmt numFmtId="164" formatCode="_-* #,##0_-;\-* #,##0_-;_-* &quot;-&quot;??_-;_-@_-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1D6F42"/>
        </patternFill>
      </fill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numFmt numFmtId="0" formatCode="General"/>
      <fill>
        <patternFill patternType="solid">
          <fgColor indexed="64"/>
          <bgColor theme="9" tint="0.79998168889431442"/>
        </patternFill>
      </fill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numFmt numFmtId="0" formatCode="General"/>
      <fill>
        <patternFill patternType="solid">
          <fgColor indexed="64"/>
          <bgColor theme="9" tint="0.59999389629810485"/>
        </patternFill>
      </fill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numFmt numFmtId="164" formatCode="_-* #,##0_-;\-* #,##0_-;_-* &quot;-&quot;??_-;_-@_-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1D6F42"/>
        </patternFill>
      </fill>
      <alignment vertical="center" textRotation="0" wrapText="0" indent="0" justifyLastLine="0" shrinkToFit="0" readingOrder="0"/>
    </dxf>
    <dxf>
      <font>
        <color rgb="FFC00000"/>
      </font>
      <fill>
        <patternFill>
          <bgColor theme="5" tint="0.59996337778862885"/>
        </patternFill>
      </fill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numFmt numFmtId="164" formatCode="_-* #,##0_-;\-* #,##0_-;_-* &quot;-&quot;??_-;_-@_-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1D6F42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numFmt numFmtId="164" formatCode="_-* #,##0_-;\-* #,##0_-;_-* &quot;-&quot;??_-;_-@_-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1D6F42"/>
        <name val="Calibri"/>
        <family val="2"/>
        <scheme val="minor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1D6F42"/>
        </patternFill>
      </fill>
      <alignment vertical="center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1D6F42"/>
        <name val="Body Fon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1D6F42"/>
        <name val="Body Font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rgb="FF1D6F42"/>
        <name val="Body Font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rgb="FF1D6F42"/>
        <name val="Body Font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rgb="FF1D6F42"/>
        <name val="Body Font"/>
        <family val="2"/>
        <scheme val="none"/>
      </font>
    </dxf>
  </dxfs>
  <tableStyles count="0" defaultTableStyle="TableStyleMedium2" defaultPivotStyle="PivotStyleLight16"/>
  <colors>
    <mruColors>
      <color rgb="FF1D6F4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'XNPV &amp; XIRR'!$Q$11:$Q$30</c:f>
            </c:numRef>
          </c:xVal>
          <c:yVal>
            <c:numRef>
              <c:f>'XNPV &amp; XIRR'!$R$11:$R$30</c:f>
            </c:numRef>
          </c:yVal>
          <c:smooth val="0"/>
          <c:extLst>
            <c:ext xmlns:c16="http://schemas.microsoft.com/office/drawing/2014/chart" uri="{C3380CC4-5D6E-409C-BE32-E72D297353CC}">
              <c16:uniqueId val="{00000000-530E-4661-A06C-99EC5711102B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'XNPV &amp; XIRR'!$Q$11:$Q$30</c:f>
            </c:numRef>
          </c:xVal>
          <c:yVal>
            <c:numRef>
              <c:f>'XNPV &amp; XIRR'!$S$11:$S$30</c:f>
            </c:numRef>
          </c:yVal>
          <c:smooth val="0"/>
          <c:extLst>
            <c:ext xmlns:c16="http://schemas.microsoft.com/office/drawing/2014/chart" uri="{C3380CC4-5D6E-409C-BE32-E72D297353CC}">
              <c16:uniqueId val="{00000001-92ED-4983-A5F0-4B90A503E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11728"/>
        <c:axId val="115007568"/>
      </c:scatterChart>
      <c:valAx>
        <c:axId val="115011728"/>
        <c:scaling>
          <c:orientation val="minMax"/>
        </c:scaling>
        <c:delete val="0"/>
        <c:axPos val="b"/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07568"/>
        <c:crosses val="autoZero"/>
        <c:crossBetween val="midCat"/>
      </c:valAx>
      <c:valAx>
        <c:axId val="11500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£&quot;#,##0.00_);[Red]\(&quot;£&quot;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11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sv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7" Type="http://schemas.openxmlformats.org/officeDocument/2006/relationships/image" Target="../media/image16.gif"/><Relationship Id="rId2" Type="http://schemas.openxmlformats.org/officeDocument/2006/relationships/image" Target="../media/image11.svg"/><Relationship Id="rId1" Type="http://schemas.openxmlformats.org/officeDocument/2006/relationships/image" Target="../media/image10.png"/><Relationship Id="rId6" Type="http://schemas.openxmlformats.org/officeDocument/2006/relationships/chart" Target="../charts/chart1.xml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1.svg"/><Relationship Id="rId1" Type="http://schemas.openxmlformats.org/officeDocument/2006/relationships/image" Target="../media/image10.png"/><Relationship Id="rId4" Type="http://schemas.openxmlformats.org/officeDocument/2006/relationships/image" Target="../media/image18.gi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svg"/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1.svg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1.svg"/><Relationship Id="rId1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svg"/><Relationship Id="rId1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svg"/><Relationship Id="rId1" Type="http://schemas.openxmlformats.org/officeDocument/2006/relationships/image" Target="../media/image10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20.jpeg"/><Relationship Id="rId4" Type="http://schemas.openxmlformats.org/officeDocument/2006/relationships/image" Target="../media/image2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svg"/><Relationship Id="rId1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svg"/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sv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svg"/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sv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svg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sv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sv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1</xdr:rowOff>
    </xdr:from>
    <xdr:to>
      <xdr:col>17</xdr:col>
      <xdr:colOff>476765</xdr:colOff>
      <xdr:row>21</xdr:row>
      <xdr:rowOff>131446</xdr:rowOff>
    </xdr:to>
    <xdr:pic>
      <xdr:nvPicPr>
        <xdr:cNvPr id="2" name="Picture 1" descr="X-Force Assemble! Hey That&amp;#39;s My Move! Avengergram THIS IS THE SALUTE OF MY  ENTIRE PEOPLE I&amp;#39;ve Been Doing This for Over 18 Years &amp;lt;p&amp;gt;X-Force&amp;lt;p&amp;gt; | Been  Meme on ME.ME">
          <a:extLst>
            <a:ext uri="{FF2B5EF4-FFF2-40B4-BE49-F238E27FC236}">
              <a16:creationId xmlns:a16="http://schemas.microsoft.com/office/drawing/2014/main" id="{AF079F83-1DCC-4B52-B453-F7D5683465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943"/>
        <a:stretch/>
      </xdr:blipFill>
      <xdr:spPr bwMode="auto">
        <a:xfrm>
          <a:off x="6534150" y="1"/>
          <a:ext cx="4732535" cy="354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22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38CD4D3-A136-438B-841D-E49520BA3B48}"/>
            </a:ext>
          </a:extLst>
        </xdr:cNvPr>
        <xdr:cNvSpPr txBox="1"/>
      </xdr:nvSpPr>
      <xdr:spPr>
        <a:xfrm>
          <a:off x="0" y="0"/>
          <a:ext cx="6697980" cy="3688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rgbClr val="1D6F42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The X-Force of Excel</a:t>
          </a:r>
        </a:p>
        <a:p>
          <a:pPr algn="ctr"/>
          <a:endParaRPr lang="en-US" sz="4800" b="1" cap="none" spc="0">
            <a:ln w="9525">
              <a:solidFill>
                <a:schemeClr val="bg1"/>
              </a:solidFill>
              <a:prstDash val="solid"/>
            </a:ln>
            <a:solidFill>
              <a:srgbClr val="1D6F42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</a:endParaRPr>
        </a:p>
        <a:p>
          <a:pPr algn="ctr"/>
          <a:r>
            <a:rPr 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rgbClr val="1D6F42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London Excel Meetup</a:t>
          </a:r>
        </a:p>
        <a:p>
          <a:pPr algn="ctr"/>
          <a:r>
            <a:rPr 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rgbClr val="1D6F42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-</a:t>
          </a:r>
        </a:p>
        <a:p>
          <a:pPr algn="ctr"/>
          <a:r>
            <a:rPr lang="en-US" sz="3600" b="1" cap="none" spc="0">
              <a:ln w="9525">
                <a:solidFill>
                  <a:schemeClr val="bg1"/>
                </a:solidFill>
                <a:prstDash val="solid"/>
              </a:ln>
              <a:solidFill>
                <a:srgbClr val="1D6F42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Online Event 19 Jan 2022</a:t>
          </a:r>
        </a:p>
      </xdr:txBody>
    </xdr:sp>
    <xdr:clientData/>
  </xdr:twoCellAnchor>
  <xdr:twoCellAnchor editAs="oneCell">
    <xdr:from>
      <xdr:col>1</xdr:col>
      <xdr:colOff>26670</xdr:colOff>
      <xdr:row>25</xdr:row>
      <xdr:rowOff>285750</xdr:rowOff>
    </xdr:from>
    <xdr:to>
      <xdr:col>4</xdr:col>
      <xdr:colOff>398145</xdr:colOff>
      <xdr:row>40</xdr:row>
      <xdr:rowOff>79340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8D3AAB1-70F1-439E-BDE6-7D4605BF7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0" y="4476750"/>
          <a:ext cx="2710815" cy="270443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54</xdr:row>
      <xdr:rowOff>28575</xdr:rowOff>
    </xdr:from>
    <xdr:to>
      <xdr:col>18</xdr:col>
      <xdr:colOff>283318</xdr:colOff>
      <xdr:row>78</xdr:row>
      <xdr:rowOff>95972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5435B61-7ABA-4363-B7B9-D4B2B3EE0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7639050"/>
          <a:ext cx="11498053" cy="393835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80</xdr:row>
      <xdr:rowOff>0</xdr:rowOff>
    </xdr:from>
    <xdr:to>
      <xdr:col>10</xdr:col>
      <xdr:colOff>92355</xdr:colOff>
      <xdr:row>90</xdr:row>
      <xdr:rowOff>132555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83B7219-A8D3-412C-987F-87B44C8DE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" y="11820525"/>
          <a:ext cx="3130830" cy="1751805"/>
        </a:xfrm>
        <a:prstGeom prst="rect">
          <a:avLst/>
        </a:prstGeom>
      </xdr:spPr>
    </xdr:pic>
    <xdr:clientData/>
  </xdr:twoCellAnchor>
  <xdr:twoCellAnchor editAs="oneCell">
    <xdr:from>
      <xdr:col>10</xdr:col>
      <xdr:colOff>255269</xdr:colOff>
      <xdr:row>81</xdr:row>
      <xdr:rowOff>78836</xdr:rowOff>
    </xdr:from>
    <xdr:to>
      <xdr:col>15</xdr:col>
      <xdr:colOff>305378</xdr:colOff>
      <xdr:row>94</xdr:row>
      <xdr:rowOff>38295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2D09EA3-BB4B-4DE3-AF1C-1AB0ADBFA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89419" y="12061286"/>
          <a:ext cx="3098109" cy="2064484"/>
        </a:xfrm>
        <a:prstGeom prst="rect">
          <a:avLst/>
        </a:prstGeom>
      </xdr:spPr>
    </xdr:pic>
    <xdr:clientData/>
  </xdr:twoCellAnchor>
  <xdr:twoCellAnchor editAs="oneCell">
    <xdr:from>
      <xdr:col>5</xdr:col>
      <xdr:colOff>128587</xdr:colOff>
      <xdr:row>26</xdr:row>
      <xdr:rowOff>87630</xdr:rowOff>
    </xdr:from>
    <xdr:to>
      <xdr:col>6</xdr:col>
      <xdr:colOff>169747</xdr:colOff>
      <xdr:row>30</xdr:row>
      <xdr:rowOff>94500</xdr:rowOff>
    </xdr:to>
    <xdr:pic>
      <xdr:nvPicPr>
        <xdr:cNvPr id="10" name="Picture 9" descr="linkedin-logo - Mekes">
          <a:extLst>
            <a:ext uri="{FF2B5EF4-FFF2-40B4-BE49-F238E27FC236}">
              <a16:creationId xmlns:a16="http://schemas.microsoft.com/office/drawing/2014/main" id="{32C0438E-32C1-49B1-B79E-D2BDA1900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2367" y="4842510"/>
          <a:ext cx="681240" cy="688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114000</xdr:colOff>
      <xdr:row>31</xdr:row>
      <xdr:rowOff>144780</xdr:rowOff>
    </xdr:from>
    <xdr:to>
      <xdr:col>6</xdr:col>
      <xdr:colOff>207194</xdr:colOff>
      <xdr:row>36</xdr:row>
      <xdr:rowOff>1155</xdr:rowOff>
    </xdr:to>
    <xdr:pic>
      <xdr:nvPicPr>
        <xdr:cNvPr id="11" name="Picture 10" descr="F-info goes Meetup! - F-info">
          <a:extLst>
            <a:ext uri="{FF2B5EF4-FFF2-40B4-BE49-F238E27FC236}">
              <a16:creationId xmlns:a16="http://schemas.microsoft.com/office/drawing/2014/main" id="{3A0B890B-AC6B-4CCF-8D58-BFFA345C3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7780" y="5737860"/>
          <a:ext cx="725654" cy="69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137587</xdr:colOff>
      <xdr:row>37</xdr:row>
      <xdr:rowOff>40005</xdr:rowOff>
    </xdr:from>
    <xdr:to>
      <xdr:col>6</xdr:col>
      <xdr:colOff>168367</xdr:colOff>
      <xdr:row>41</xdr:row>
      <xdr:rowOff>40305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BFC0F50-37D7-41D7-BC72-AC9F0C241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1367" y="6638925"/>
          <a:ext cx="663240" cy="67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382905</xdr:colOff>
      <xdr:row>12</xdr:row>
      <xdr:rowOff>95250</xdr:rowOff>
    </xdr:from>
    <xdr:to>
      <xdr:col>31</xdr:col>
      <xdr:colOff>626745</xdr:colOff>
      <xdr:row>18</xdr:row>
      <xdr:rowOff>15240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37FE130F-7035-4EC2-8527-B1AB4B09A7E2}"/>
            </a:ext>
          </a:extLst>
        </xdr:cNvPr>
        <xdr:cNvSpPr txBox="1"/>
      </xdr:nvSpPr>
      <xdr:spPr>
        <a:xfrm>
          <a:off x="18718530" y="2152650"/>
          <a:ext cx="2758440" cy="9486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rgbClr val="1D6F42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XLOOKUP</a:t>
          </a:r>
          <a:endParaRPr lang="en-US" sz="3600" b="1" cap="none" spc="0">
            <a:ln w="9525">
              <a:solidFill>
                <a:schemeClr val="bg1"/>
              </a:solidFill>
              <a:prstDash val="solid"/>
            </a:ln>
            <a:solidFill>
              <a:srgbClr val="1D6F42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</a:endParaRPr>
        </a:p>
      </xdr:txBody>
    </xdr:sp>
    <xdr:clientData/>
  </xdr:twoCellAnchor>
  <xdr:twoCellAnchor>
    <xdr:from>
      <xdr:col>23</xdr:col>
      <xdr:colOff>607695</xdr:colOff>
      <xdr:row>6</xdr:row>
      <xdr:rowOff>87630</xdr:rowOff>
    </xdr:from>
    <xdr:to>
      <xdr:col>28</xdr:col>
      <xdr:colOff>230505</xdr:colOff>
      <xdr:row>12</xdr:row>
      <xdr:rowOff>17145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EFF2C339-E389-4A0E-8D4C-05EC15363543}"/>
            </a:ext>
          </a:extLst>
        </xdr:cNvPr>
        <xdr:cNvSpPr txBox="1"/>
      </xdr:nvSpPr>
      <xdr:spPr>
        <a:xfrm>
          <a:off x="16428720" y="1116330"/>
          <a:ext cx="2766060" cy="9582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rgbClr val="1D6F42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XOR</a:t>
          </a:r>
          <a:endParaRPr lang="en-US" sz="3600" b="1" cap="none" spc="0">
            <a:ln w="9525">
              <a:solidFill>
                <a:schemeClr val="bg1"/>
              </a:solidFill>
              <a:prstDash val="solid"/>
            </a:ln>
            <a:solidFill>
              <a:srgbClr val="1D6F42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</a:endParaRPr>
        </a:p>
      </xdr:txBody>
    </xdr:sp>
    <xdr:clientData/>
  </xdr:twoCellAnchor>
  <xdr:twoCellAnchor>
    <xdr:from>
      <xdr:col>23</xdr:col>
      <xdr:colOff>466725</xdr:colOff>
      <xdr:row>18</xdr:row>
      <xdr:rowOff>148590</xdr:rowOff>
    </xdr:from>
    <xdr:to>
      <xdr:col>28</xdr:col>
      <xdr:colOff>81915</xdr:colOff>
      <xdr:row>24</xdr:row>
      <xdr:rowOff>76200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CD4AD6EC-8BE6-477E-B4E0-72E83483350E}"/>
            </a:ext>
          </a:extLst>
        </xdr:cNvPr>
        <xdr:cNvSpPr txBox="1"/>
      </xdr:nvSpPr>
      <xdr:spPr>
        <a:xfrm>
          <a:off x="16287750" y="3234690"/>
          <a:ext cx="2758440" cy="95631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rgbClr val="1D6F42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XMATCH</a:t>
          </a:r>
          <a:endParaRPr lang="en-US" sz="3600" b="1" cap="none" spc="0">
            <a:ln w="9525">
              <a:solidFill>
                <a:schemeClr val="bg1"/>
              </a:solidFill>
              <a:prstDash val="solid"/>
            </a:ln>
            <a:solidFill>
              <a:srgbClr val="1D6F42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</a:endParaRPr>
        </a:p>
      </xdr:txBody>
    </xdr:sp>
    <xdr:clientData/>
  </xdr:twoCellAnchor>
  <xdr:twoCellAnchor>
    <xdr:from>
      <xdr:col>30</xdr:col>
      <xdr:colOff>428625</xdr:colOff>
      <xdr:row>21</xdr:row>
      <xdr:rowOff>169545</xdr:rowOff>
    </xdr:from>
    <xdr:to>
      <xdr:col>35</xdr:col>
      <xdr:colOff>47625</xdr:colOff>
      <xdr:row>25</xdr:row>
      <xdr:rowOff>436245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C4D5F814-7854-4313-9015-951722110279}"/>
            </a:ext>
          </a:extLst>
        </xdr:cNvPr>
        <xdr:cNvSpPr txBox="1"/>
      </xdr:nvSpPr>
      <xdr:spPr>
        <a:xfrm>
          <a:off x="20650200" y="3769995"/>
          <a:ext cx="2762250" cy="952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rgbClr val="1D6F42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XNPV</a:t>
          </a:r>
          <a:endParaRPr lang="en-US" sz="3600" b="1" cap="none" spc="0">
            <a:ln w="9525">
              <a:solidFill>
                <a:schemeClr val="bg1"/>
              </a:solidFill>
              <a:prstDash val="solid"/>
            </a:ln>
            <a:solidFill>
              <a:srgbClr val="1D6F42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</a:endParaRPr>
        </a:p>
      </xdr:txBody>
    </xdr:sp>
    <xdr:clientData/>
  </xdr:twoCellAnchor>
  <xdr:twoCellAnchor>
    <xdr:from>
      <xdr:col>30</xdr:col>
      <xdr:colOff>493395</xdr:colOff>
      <xdr:row>17</xdr:row>
      <xdr:rowOff>28575</xdr:rowOff>
    </xdr:from>
    <xdr:to>
      <xdr:col>35</xdr:col>
      <xdr:colOff>112395</xdr:colOff>
      <xdr:row>22</xdr:row>
      <xdr:rowOff>116205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5CCAECF6-7021-4638-92D3-7E24B2E3A121}"/>
            </a:ext>
          </a:extLst>
        </xdr:cNvPr>
        <xdr:cNvSpPr txBox="1"/>
      </xdr:nvSpPr>
      <xdr:spPr>
        <a:xfrm>
          <a:off x="20714970" y="2943225"/>
          <a:ext cx="2762250" cy="9448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rgbClr val="1D6F42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XIRR</a:t>
          </a:r>
          <a:endParaRPr lang="en-US" sz="3600" b="1" cap="none" spc="0">
            <a:ln w="9525">
              <a:solidFill>
                <a:schemeClr val="bg1"/>
              </a:solidFill>
              <a:prstDash val="solid"/>
            </a:ln>
            <a:solidFill>
              <a:srgbClr val="1D6F42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</a:endParaRPr>
        </a:p>
      </xdr:txBody>
    </xdr:sp>
    <xdr:clientData/>
  </xdr:twoCellAnchor>
  <xdr:twoCellAnchor editAs="oneCell">
    <xdr:from>
      <xdr:col>13</xdr:col>
      <xdr:colOff>0</xdr:colOff>
      <xdr:row>25</xdr:row>
      <xdr:rowOff>0</xdr:rowOff>
    </xdr:from>
    <xdr:to>
      <xdr:col>20</xdr:col>
      <xdr:colOff>708660</xdr:colOff>
      <xdr:row>41</xdr:row>
      <xdr:rowOff>114300</xdr:rowOff>
    </xdr:to>
    <xdr:pic>
      <xdr:nvPicPr>
        <xdr:cNvPr id="18" name="Picture 17" descr="London Excel Meetup Group (London, Großbritannien) | Meetup">
          <a:extLst>
            <a:ext uri="{FF2B5EF4-FFF2-40B4-BE49-F238E27FC236}">
              <a16:creationId xmlns:a16="http://schemas.microsoft.com/office/drawing/2014/main" id="{94D83650-456D-453B-BC66-A165F8718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0" y="4191000"/>
          <a:ext cx="5676900" cy="3192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205740</xdr:colOff>
      <xdr:row>1</xdr:row>
      <xdr:rowOff>45720</xdr:rowOff>
    </xdr:from>
    <xdr:ext cx="720000" cy="720000"/>
    <xdr:pic>
      <xdr:nvPicPr>
        <xdr:cNvPr id="3" name="Graphic 2" descr="Whole pizza">
          <a:extLst>
            <a:ext uri="{FF2B5EF4-FFF2-40B4-BE49-F238E27FC236}">
              <a16:creationId xmlns:a16="http://schemas.microsoft.com/office/drawing/2014/main" id="{1E0F2925-A0C5-4A9F-A679-5C6DFA2E1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15340" y="228600"/>
          <a:ext cx="720000" cy="72000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205740</xdr:colOff>
      <xdr:row>1</xdr:row>
      <xdr:rowOff>45720</xdr:rowOff>
    </xdr:from>
    <xdr:to>
      <xdr:col>1</xdr:col>
      <xdr:colOff>316140</xdr:colOff>
      <xdr:row>5</xdr:row>
      <xdr:rowOff>85635</xdr:rowOff>
    </xdr:to>
    <xdr:pic>
      <xdr:nvPicPr>
        <xdr:cNvPr id="2" name="Graphic 1" descr="Whole pizza">
          <a:extLst>
            <a:ext uri="{FF2B5EF4-FFF2-40B4-BE49-F238E27FC236}">
              <a16:creationId xmlns:a16="http://schemas.microsoft.com/office/drawing/2014/main" id="{60F606B8-B9FD-4F43-BD08-B7049E26B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05740" y="4572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497205</xdr:colOff>
      <xdr:row>7</xdr:row>
      <xdr:rowOff>119293</xdr:rowOff>
    </xdr:from>
    <xdr:to>
      <xdr:col>15</xdr:col>
      <xdr:colOff>222968</xdr:colOff>
      <xdr:row>12</xdr:row>
      <xdr:rowOff>62865</xdr:rowOff>
    </xdr:to>
    <xdr:pic>
      <xdr:nvPicPr>
        <xdr:cNvPr id="4" name="Picture 3" descr=" NPV Function">
          <a:extLst>
            <a:ext uri="{FF2B5EF4-FFF2-40B4-BE49-F238E27FC236}">
              <a16:creationId xmlns:a16="http://schemas.microsoft.com/office/drawing/2014/main" id="{C03253D3-D0DD-43F6-9B72-D621F3D67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0445" y="1361353"/>
          <a:ext cx="2164163" cy="819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327660</xdr:colOff>
      <xdr:row>34</xdr:row>
      <xdr:rowOff>24848</xdr:rowOff>
    </xdr:from>
    <xdr:to>
      <xdr:col>6</xdr:col>
      <xdr:colOff>165735</xdr:colOff>
      <xdr:row>40</xdr:row>
      <xdr:rowOff>68580</xdr:rowOff>
    </xdr:to>
    <xdr:pic>
      <xdr:nvPicPr>
        <xdr:cNvPr id="5" name="Picture 4" descr="XNPV Function - Mathematical Formula">
          <a:extLst>
            <a:ext uri="{FF2B5EF4-FFF2-40B4-BE49-F238E27FC236}">
              <a16:creationId xmlns:a16="http://schemas.microsoft.com/office/drawing/2014/main" id="{CB4D0C1E-3AA8-49D4-B85D-89D0C18DC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6358973"/>
          <a:ext cx="3543300" cy="1015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394335</xdr:colOff>
      <xdr:row>34</xdr:row>
      <xdr:rowOff>38100</xdr:rowOff>
    </xdr:from>
    <xdr:to>
      <xdr:col>12</xdr:col>
      <xdr:colOff>375285</xdr:colOff>
      <xdr:row>49</xdr:row>
      <xdr:rowOff>76919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C779087-47EF-4E24-9471-9574080F7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99560" y="6372225"/>
          <a:ext cx="3543300" cy="2467694"/>
        </a:xfrm>
        <a:prstGeom prst="rect">
          <a:avLst/>
        </a:prstGeom>
      </xdr:spPr>
    </xdr:pic>
    <xdr:clientData/>
  </xdr:twoCellAnchor>
  <xdr:twoCellAnchor>
    <xdr:from>
      <xdr:col>22</xdr:col>
      <xdr:colOff>144780</xdr:colOff>
      <xdr:row>10</xdr:row>
      <xdr:rowOff>13335</xdr:rowOff>
    </xdr:from>
    <xdr:to>
      <xdr:col>29</xdr:col>
      <xdr:colOff>144780</xdr:colOff>
      <xdr:row>30</xdr:row>
      <xdr:rowOff>38100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88CF2BB-5162-4E38-B39B-671735CB01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13</xdr:col>
      <xdr:colOff>323850</xdr:colOff>
      <xdr:row>13</xdr:row>
      <xdr:rowOff>0</xdr:rowOff>
    </xdr:from>
    <xdr:to>
      <xdr:col>31</xdr:col>
      <xdr:colOff>440055</xdr:colOff>
      <xdr:row>19</xdr:row>
      <xdr:rowOff>73762</xdr:rowOff>
    </xdr:to>
    <xdr:pic>
      <xdr:nvPicPr>
        <xdr:cNvPr id="8" name="Picture 7" descr="Calculating GIFs - Get the best GIF on GIPHY">
          <a:extLst>
            <a:ext uri="{FF2B5EF4-FFF2-40B4-BE49-F238E27FC236}">
              <a16:creationId xmlns:a16="http://schemas.microsoft.com/office/drawing/2014/main" id="{8B610971-3B91-424D-8E10-A507FBED21D5}"/>
            </a:ext>
          </a:extLst>
        </xdr:cNvPr>
        <xdr:cNvPicPr>
          <a:picLocks noChangeAspect="1" noChangeArrowheads="1" noCrop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6290" y="2293620"/>
          <a:ext cx="2554605" cy="1125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205740</xdr:colOff>
      <xdr:row>1</xdr:row>
      <xdr:rowOff>45720</xdr:rowOff>
    </xdr:from>
    <xdr:to>
      <xdr:col>1</xdr:col>
      <xdr:colOff>316140</xdr:colOff>
      <xdr:row>5</xdr:row>
      <xdr:rowOff>85635</xdr:rowOff>
    </xdr:to>
    <xdr:pic>
      <xdr:nvPicPr>
        <xdr:cNvPr id="2" name="Graphic 1" descr="Whole pizza">
          <a:extLst>
            <a:ext uri="{FF2B5EF4-FFF2-40B4-BE49-F238E27FC236}">
              <a16:creationId xmlns:a16="http://schemas.microsoft.com/office/drawing/2014/main" id="{EADF21BF-DB8A-4138-A8B0-B2E226EE0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05740" y="45720"/>
          <a:ext cx="700950" cy="697140"/>
        </a:xfrm>
        <a:prstGeom prst="rect">
          <a:avLst/>
        </a:prstGeom>
      </xdr:spPr>
    </xdr:pic>
    <xdr:clientData/>
  </xdr:twoCellAnchor>
  <xdr:twoCellAnchor editAs="oneCell">
    <xdr:from>
      <xdr:col>11</xdr:col>
      <xdr:colOff>411480</xdr:colOff>
      <xdr:row>7</xdr:row>
      <xdr:rowOff>36195</xdr:rowOff>
    </xdr:from>
    <xdr:to>
      <xdr:col>14</xdr:col>
      <xdr:colOff>474345</xdr:colOff>
      <xdr:row>11</xdr:row>
      <xdr:rowOff>120015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ADF82DE-7166-4652-A03A-943B0628D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4720" y="1278255"/>
          <a:ext cx="1891665" cy="784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405765</xdr:colOff>
      <xdr:row>10</xdr:row>
      <xdr:rowOff>51435</xdr:rowOff>
    </xdr:from>
    <xdr:to>
      <xdr:col>20</xdr:col>
      <xdr:colOff>161925</xdr:colOff>
      <xdr:row>21</xdr:row>
      <xdr:rowOff>112395</xdr:rowOff>
    </xdr:to>
    <xdr:pic>
      <xdr:nvPicPr>
        <xdr:cNvPr id="8" name="Picture 7" descr="Calculate GIFs - Get the best GIF on GIPHY">
          <a:extLst>
            <a:ext uri="{FF2B5EF4-FFF2-40B4-BE49-F238E27FC236}">
              <a16:creationId xmlns:a16="http://schemas.microsoft.com/office/drawing/2014/main" id="{EB1B524F-76C5-44FD-A9AF-7C7DDECF59DF}"/>
            </a:ext>
          </a:extLst>
        </xdr:cNvPr>
        <xdr:cNvPicPr>
          <a:picLocks noChangeAspect="1" noChangeArrowheads="1" noCrop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7805" y="1819275"/>
          <a:ext cx="3413760" cy="1988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205740</xdr:colOff>
      <xdr:row>1</xdr:row>
      <xdr:rowOff>45720</xdr:rowOff>
    </xdr:from>
    <xdr:to>
      <xdr:col>1</xdr:col>
      <xdr:colOff>316140</xdr:colOff>
      <xdr:row>5</xdr:row>
      <xdr:rowOff>95160</xdr:rowOff>
    </xdr:to>
    <xdr:pic>
      <xdr:nvPicPr>
        <xdr:cNvPr id="2" name="Graphic 1" descr="Whole pizza">
          <a:extLst>
            <a:ext uri="{FF2B5EF4-FFF2-40B4-BE49-F238E27FC236}">
              <a16:creationId xmlns:a16="http://schemas.microsoft.com/office/drawing/2014/main" id="{36F1A13C-271C-4351-BB55-680F3662A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05740" y="45720"/>
          <a:ext cx="720000" cy="720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205740</xdr:colOff>
      <xdr:row>1</xdr:row>
      <xdr:rowOff>45720</xdr:rowOff>
    </xdr:from>
    <xdr:to>
      <xdr:col>1</xdr:col>
      <xdr:colOff>316140</xdr:colOff>
      <xdr:row>5</xdr:row>
      <xdr:rowOff>55155</xdr:rowOff>
    </xdr:to>
    <xdr:pic>
      <xdr:nvPicPr>
        <xdr:cNvPr id="2" name="Graphic 1" descr="Whole pizza">
          <a:extLst>
            <a:ext uri="{FF2B5EF4-FFF2-40B4-BE49-F238E27FC236}">
              <a16:creationId xmlns:a16="http://schemas.microsoft.com/office/drawing/2014/main" id="{F78B0968-C7B2-41C6-887E-572527CEE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05740" y="45720"/>
          <a:ext cx="700950" cy="697140"/>
        </a:xfrm>
        <a:prstGeom prst="rect">
          <a:avLst/>
        </a:prstGeom>
      </xdr:spPr>
    </xdr:pic>
    <xdr:clientData/>
  </xdr:twoCellAnchor>
  <xdr:twoCellAnchor editAs="oneCell">
    <xdr:from>
      <xdr:col>8</xdr:col>
      <xdr:colOff>502920</xdr:colOff>
      <xdr:row>10</xdr:row>
      <xdr:rowOff>30480</xdr:rowOff>
    </xdr:from>
    <xdr:to>
      <xdr:col>19</xdr:col>
      <xdr:colOff>292448</xdr:colOff>
      <xdr:row>27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D819B5-7F90-4DE6-B2E0-4823AAB35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9760" y="1798320"/>
          <a:ext cx="8659208" cy="3017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548640</xdr:colOff>
      <xdr:row>1</xdr:row>
      <xdr:rowOff>60960</xdr:rowOff>
    </xdr:from>
    <xdr:to>
      <xdr:col>2</xdr:col>
      <xdr:colOff>659040</xdr:colOff>
      <xdr:row>5</xdr:row>
      <xdr:rowOff>100875</xdr:rowOff>
    </xdr:to>
    <xdr:pic>
      <xdr:nvPicPr>
        <xdr:cNvPr id="2" name="Graphic 1" descr="Whole pizza">
          <a:extLst>
            <a:ext uri="{FF2B5EF4-FFF2-40B4-BE49-F238E27FC236}">
              <a16:creationId xmlns:a16="http://schemas.microsoft.com/office/drawing/2014/main" id="{47B862A9-46C4-4E52-9CDB-2EFD4E879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58240" y="6096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83987</xdr:rowOff>
    </xdr:from>
    <xdr:to>
      <xdr:col>8</xdr:col>
      <xdr:colOff>51435</xdr:colOff>
      <xdr:row>19</xdr:row>
      <xdr:rowOff>142490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34B4204-83DA-4D8A-A777-C188C7873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2687"/>
          <a:ext cx="6421755" cy="223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5</xdr:col>
      <xdr:colOff>0</xdr:colOff>
      <xdr:row>7</xdr:row>
      <xdr:rowOff>114300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ADEBCAFD-38BE-4CDB-AD9A-1647D5CA77DF}"/>
            </a:ext>
          </a:extLst>
        </xdr:cNvPr>
        <xdr:cNvSpPr txBox="1"/>
      </xdr:nvSpPr>
      <xdr:spPr>
        <a:xfrm>
          <a:off x="0" y="990600"/>
          <a:ext cx="4105275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MATCH(lookup_value, lookup_array, [match_type])</a:t>
          </a:r>
        </a:p>
        <a:p>
          <a:endParaRPr lang="en-GB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</xdr:row>
      <xdr:rowOff>0</xdr:rowOff>
    </xdr:from>
    <xdr:to>
      <xdr:col>12</xdr:col>
      <xdr:colOff>137160</xdr:colOff>
      <xdr:row>18</xdr:row>
      <xdr:rowOff>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3FA0B67-3CF1-4323-914F-7E13867A8613}"/>
            </a:ext>
          </a:extLst>
        </xdr:cNvPr>
        <xdr:cNvSpPr txBox="1"/>
      </xdr:nvSpPr>
      <xdr:spPr>
        <a:xfrm>
          <a:off x="4105275" y="990600"/>
          <a:ext cx="4813935" cy="1943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050" b="1" i="0">
              <a:solidFill>
                <a:srgbClr val="1D6F42"/>
              </a:solidFill>
              <a:effectLst/>
              <a:latin typeface="+mn-lt"/>
              <a:ea typeface="+mn-ea"/>
              <a:cs typeface="+mn-cs"/>
            </a:rPr>
            <a:t>XMATCH(lookup_value, lookup_array, [match_mode], [search_mode])</a:t>
          </a:r>
        </a:p>
        <a:p>
          <a:pPr algn="ctr"/>
          <a:endParaRPr lang="en-GB" sz="1050" b="0" i="0">
            <a:solidFill>
              <a:srgbClr val="1D6F42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050">
              <a:solidFill>
                <a:srgbClr val="1D6F42"/>
              </a:solidFill>
            </a:rPr>
            <a:t>[Match Type]:</a:t>
          </a:r>
        </a:p>
        <a:p>
          <a:endParaRPr lang="en-GB" sz="1050">
            <a:solidFill>
              <a:srgbClr val="1D6F42"/>
            </a:solidFill>
          </a:endParaRPr>
        </a:p>
        <a:p>
          <a:r>
            <a:rPr lang="en-GB" sz="1050" b="1" i="0">
              <a:solidFill>
                <a:srgbClr val="1D6F42"/>
              </a:solidFill>
              <a:effectLst/>
              <a:latin typeface="+mn-lt"/>
              <a:ea typeface="+mn-ea"/>
              <a:cs typeface="+mn-cs"/>
            </a:rPr>
            <a:t>0 </a:t>
          </a:r>
          <a:r>
            <a:rPr lang="en-GB" sz="1050" b="0" i="0">
              <a:solidFill>
                <a:srgbClr val="1D6F42"/>
              </a:solidFill>
              <a:effectLst/>
              <a:latin typeface="+mn-lt"/>
              <a:ea typeface="+mn-ea"/>
              <a:cs typeface="+mn-cs"/>
            </a:rPr>
            <a:t>- Exact match (default)</a:t>
          </a:r>
        </a:p>
        <a:p>
          <a:endParaRPr lang="en-GB" sz="1050" b="1" i="0">
            <a:solidFill>
              <a:srgbClr val="1D6F42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050" b="1" i="0">
              <a:solidFill>
                <a:srgbClr val="1D6F42"/>
              </a:solidFill>
              <a:effectLst/>
              <a:latin typeface="+mn-lt"/>
              <a:ea typeface="+mn-ea"/>
              <a:cs typeface="+mn-cs"/>
            </a:rPr>
            <a:t>-1 </a:t>
          </a:r>
          <a:r>
            <a:rPr lang="en-GB" sz="1050" b="0" i="0">
              <a:solidFill>
                <a:srgbClr val="1D6F42"/>
              </a:solidFill>
              <a:effectLst/>
              <a:latin typeface="+mn-lt"/>
              <a:ea typeface="+mn-ea"/>
              <a:cs typeface="+mn-cs"/>
            </a:rPr>
            <a:t>- Exact match or next smallest item</a:t>
          </a:r>
        </a:p>
        <a:p>
          <a:endParaRPr lang="en-GB" sz="1050" b="1" i="0">
            <a:solidFill>
              <a:srgbClr val="1D6F42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050" b="1" i="0">
              <a:solidFill>
                <a:srgbClr val="1D6F42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en-GB" sz="1050" b="0" i="0">
              <a:solidFill>
                <a:srgbClr val="1D6F42"/>
              </a:solidFill>
              <a:effectLst/>
              <a:latin typeface="+mn-lt"/>
              <a:ea typeface="+mn-ea"/>
              <a:cs typeface="+mn-cs"/>
            </a:rPr>
            <a:t> - Exact match or next largest item</a:t>
          </a:r>
        </a:p>
        <a:p>
          <a:endParaRPr lang="en-GB" sz="1050" b="1" i="0">
            <a:solidFill>
              <a:srgbClr val="1D6F42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050" b="1" i="0">
              <a:solidFill>
                <a:srgbClr val="1D6F42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en-GB" sz="1050" b="0" i="0">
              <a:solidFill>
                <a:srgbClr val="1D6F42"/>
              </a:solidFill>
              <a:effectLst/>
              <a:latin typeface="+mn-lt"/>
              <a:ea typeface="+mn-ea"/>
              <a:cs typeface="+mn-cs"/>
            </a:rPr>
            <a:t> - A wildcard match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548640</xdr:colOff>
      <xdr:row>1</xdr:row>
      <xdr:rowOff>60960</xdr:rowOff>
    </xdr:from>
    <xdr:to>
      <xdr:col>2</xdr:col>
      <xdr:colOff>664755</xdr:colOff>
      <xdr:row>5</xdr:row>
      <xdr:rowOff>93255</xdr:rowOff>
    </xdr:to>
    <xdr:pic>
      <xdr:nvPicPr>
        <xdr:cNvPr id="2" name="Graphic 1" descr="Whole pizza">
          <a:extLst>
            <a:ext uri="{FF2B5EF4-FFF2-40B4-BE49-F238E27FC236}">
              <a16:creationId xmlns:a16="http://schemas.microsoft.com/office/drawing/2014/main" id="{2E94B9DC-0728-4183-A408-472499C2B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39190" y="232410"/>
          <a:ext cx="700950" cy="69714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9525</xdr:rowOff>
    </xdr:from>
    <xdr:to>
      <xdr:col>6</xdr:col>
      <xdr:colOff>32385</xdr:colOff>
      <xdr:row>18</xdr:row>
      <xdr:rowOff>9525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FC20E4BB-7A8E-4B10-B994-E0493971655E}"/>
            </a:ext>
          </a:extLst>
        </xdr:cNvPr>
        <xdr:cNvSpPr txBox="1"/>
      </xdr:nvSpPr>
      <xdr:spPr>
        <a:xfrm>
          <a:off x="0" y="1000125"/>
          <a:ext cx="4813935" cy="1943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050" b="1" i="0">
              <a:solidFill>
                <a:srgbClr val="1D6F42"/>
              </a:solidFill>
              <a:effectLst/>
              <a:latin typeface="+mn-lt"/>
              <a:ea typeface="+mn-ea"/>
              <a:cs typeface="+mn-cs"/>
            </a:rPr>
            <a:t>XMATCH(lookup_value, lookup_array, [match_mode], [search_mode])</a:t>
          </a:r>
        </a:p>
        <a:p>
          <a:pPr algn="ctr"/>
          <a:endParaRPr lang="en-GB" sz="1050" b="0" i="0">
            <a:solidFill>
              <a:srgbClr val="1D6F42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050">
              <a:solidFill>
                <a:srgbClr val="1D6F42"/>
              </a:solidFill>
            </a:rPr>
            <a:t>[Match Type]:</a:t>
          </a:r>
        </a:p>
        <a:p>
          <a:endParaRPr lang="en-GB" sz="1050">
            <a:solidFill>
              <a:srgbClr val="1D6F42"/>
            </a:solidFill>
          </a:endParaRPr>
        </a:p>
        <a:p>
          <a:r>
            <a:rPr lang="en-GB" sz="1050" b="1" i="0">
              <a:solidFill>
                <a:srgbClr val="1D6F42"/>
              </a:solidFill>
              <a:effectLst/>
              <a:latin typeface="+mn-lt"/>
              <a:ea typeface="+mn-ea"/>
              <a:cs typeface="+mn-cs"/>
            </a:rPr>
            <a:t>0 </a:t>
          </a:r>
          <a:r>
            <a:rPr lang="en-GB" sz="1050" b="0" i="0">
              <a:solidFill>
                <a:srgbClr val="1D6F42"/>
              </a:solidFill>
              <a:effectLst/>
              <a:latin typeface="+mn-lt"/>
              <a:ea typeface="+mn-ea"/>
              <a:cs typeface="+mn-cs"/>
            </a:rPr>
            <a:t>- Exact match (default)</a:t>
          </a:r>
        </a:p>
        <a:p>
          <a:endParaRPr lang="en-GB" sz="1050" b="1" i="0">
            <a:solidFill>
              <a:srgbClr val="1D6F42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050" b="1" i="0">
              <a:solidFill>
                <a:srgbClr val="1D6F42"/>
              </a:solidFill>
              <a:effectLst/>
              <a:latin typeface="+mn-lt"/>
              <a:ea typeface="+mn-ea"/>
              <a:cs typeface="+mn-cs"/>
            </a:rPr>
            <a:t>-1 </a:t>
          </a:r>
          <a:r>
            <a:rPr lang="en-GB" sz="1050" b="0" i="0">
              <a:solidFill>
                <a:srgbClr val="1D6F42"/>
              </a:solidFill>
              <a:effectLst/>
              <a:latin typeface="+mn-lt"/>
              <a:ea typeface="+mn-ea"/>
              <a:cs typeface="+mn-cs"/>
            </a:rPr>
            <a:t>- Exact match or next smallest item</a:t>
          </a:r>
        </a:p>
        <a:p>
          <a:endParaRPr lang="en-GB" sz="1050" b="1" i="0">
            <a:solidFill>
              <a:srgbClr val="1D6F42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050" b="1" i="0">
              <a:solidFill>
                <a:srgbClr val="1D6F42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en-GB" sz="1050" b="0" i="0">
              <a:solidFill>
                <a:srgbClr val="1D6F42"/>
              </a:solidFill>
              <a:effectLst/>
              <a:latin typeface="+mn-lt"/>
              <a:ea typeface="+mn-ea"/>
              <a:cs typeface="+mn-cs"/>
            </a:rPr>
            <a:t> - Exact match or next largest item</a:t>
          </a:r>
        </a:p>
        <a:p>
          <a:endParaRPr lang="en-GB" sz="1050" b="1" i="0">
            <a:solidFill>
              <a:srgbClr val="1D6F42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050" b="1" i="0">
              <a:solidFill>
                <a:srgbClr val="1D6F42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en-GB" sz="1050" b="0" i="0">
              <a:solidFill>
                <a:srgbClr val="1D6F42"/>
              </a:solidFill>
              <a:effectLst/>
              <a:latin typeface="+mn-lt"/>
              <a:ea typeface="+mn-ea"/>
              <a:cs typeface="+mn-cs"/>
            </a:rPr>
            <a:t> - A wildcard match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110490</xdr:colOff>
      <xdr:row>1</xdr:row>
      <xdr:rowOff>60960</xdr:rowOff>
    </xdr:from>
    <xdr:to>
      <xdr:col>2</xdr:col>
      <xdr:colOff>209460</xdr:colOff>
      <xdr:row>5</xdr:row>
      <xdr:rowOff>97065</xdr:rowOff>
    </xdr:to>
    <xdr:pic>
      <xdr:nvPicPr>
        <xdr:cNvPr id="2" name="Graphic 1" descr="Whole pizza">
          <a:extLst>
            <a:ext uri="{FF2B5EF4-FFF2-40B4-BE49-F238E27FC236}">
              <a16:creationId xmlns:a16="http://schemas.microsoft.com/office/drawing/2014/main" id="{B5A3B770-D352-4865-9A04-0469D7739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01040" y="232410"/>
          <a:ext cx="700950" cy="69714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599748</xdr:colOff>
      <xdr:row>0</xdr:row>
      <xdr:rowOff>0</xdr:rowOff>
    </xdr:from>
    <xdr:to>
      <xdr:col>22</xdr:col>
      <xdr:colOff>0</xdr:colOff>
      <xdr:row>26</xdr:row>
      <xdr:rowOff>144780</xdr:rowOff>
    </xdr:to>
    <xdr:pic>
      <xdr:nvPicPr>
        <xdr:cNvPr id="2" name="Picture 1" descr="Il disciplinare dell&amp;#39;Associazione Verace Pizza Napoletana">
          <a:extLst>
            <a:ext uri="{FF2B5EF4-FFF2-40B4-BE49-F238E27FC236}">
              <a16:creationId xmlns:a16="http://schemas.microsoft.com/office/drawing/2014/main" id="{45F256D1-CA6B-4274-AAB2-5BE1FD5B5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6948" y="0"/>
          <a:ext cx="8544252" cy="5699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128587</xdr:colOff>
      <xdr:row>11</xdr:row>
      <xdr:rowOff>87630</xdr:rowOff>
    </xdr:from>
    <xdr:to>
      <xdr:col>1</xdr:col>
      <xdr:colOff>200227</xdr:colOff>
      <xdr:row>15</xdr:row>
      <xdr:rowOff>105930</xdr:rowOff>
    </xdr:to>
    <xdr:pic>
      <xdr:nvPicPr>
        <xdr:cNvPr id="4" name="Picture 3" descr="linkedin-logo - Mekes">
          <a:extLst>
            <a:ext uri="{FF2B5EF4-FFF2-40B4-BE49-F238E27FC236}">
              <a16:creationId xmlns:a16="http://schemas.microsoft.com/office/drawing/2014/main" id="{730C4EF7-7EE6-4BAA-B3AE-E79D667B1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2367" y="4842510"/>
          <a:ext cx="681240" cy="688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114000</xdr:colOff>
      <xdr:row>16</xdr:row>
      <xdr:rowOff>144780</xdr:rowOff>
    </xdr:from>
    <xdr:to>
      <xdr:col>1</xdr:col>
      <xdr:colOff>230054</xdr:colOff>
      <xdr:row>21</xdr:row>
      <xdr:rowOff>1155</xdr:rowOff>
    </xdr:to>
    <xdr:pic>
      <xdr:nvPicPr>
        <xdr:cNvPr id="5" name="Picture 4" descr="F-info goes Meetup! - F-info">
          <a:extLst>
            <a:ext uri="{FF2B5EF4-FFF2-40B4-BE49-F238E27FC236}">
              <a16:creationId xmlns:a16="http://schemas.microsoft.com/office/drawing/2014/main" id="{B851FA47-C62D-40DD-AD03-84DDCE30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7780" y="5737860"/>
          <a:ext cx="725654" cy="69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137587</xdr:colOff>
      <xdr:row>22</xdr:row>
      <xdr:rowOff>40005</xdr:rowOff>
    </xdr:from>
    <xdr:to>
      <xdr:col>1</xdr:col>
      <xdr:colOff>191227</xdr:colOff>
      <xdr:row>26</xdr:row>
      <xdr:rowOff>40305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42DE068-1635-44B0-B54C-3CE391FC1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1367" y="6638925"/>
          <a:ext cx="663240" cy="67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205740</xdr:colOff>
      <xdr:row>0</xdr:row>
      <xdr:rowOff>45720</xdr:rowOff>
    </xdr:from>
    <xdr:to>
      <xdr:col>1</xdr:col>
      <xdr:colOff>316140</xdr:colOff>
      <xdr:row>4</xdr:row>
      <xdr:rowOff>64680</xdr:rowOff>
    </xdr:to>
    <xdr:pic>
      <xdr:nvPicPr>
        <xdr:cNvPr id="2" name="Graphic 1" descr="Whole pizza">
          <a:extLst>
            <a:ext uri="{FF2B5EF4-FFF2-40B4-BE49-F238E27FC236}">
              <a16:creationId xmlns:a16="http://schemas.microsoft.com/office/drawing/2014/main" id="{E34CF680-E73D-48C3-9FF2-FA3BF2F22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05740" y="4572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2248</xdr:rowOff>
    </xdr:from>
    <xdr:to>
      <xdr:col>9</xdr:col>
      <xdr:colOff>200899</xdr:colOff>
      <xdr:row>34</xdr:row>
      <xdr:rowOff>167639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8DAC39-07E6-42C8-99D9-35AD7B525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848"/>
          <a:ext cx="6472159" cy="4371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205740</xdr:colOff>
      <xdr:row>1</xdr:row>
      <xdr:rowOff>45720</xdr:rowOff>
    </xdr:from>
    <xdr:ext cx="720000" cy="720000"/>
    <xdr:pic>
      <xdr:nvPicPr>
        <xdr:cNvPr id="4" name="Graphic 3" descr="Whole pizza">
          <a:extLst>
            <a:ext uri="{FF2B5EF4-FFF2-40B4-BE49-F238E27FC236}">
              <a16:creationId xmlns:a16="http://schemas.microsoft.com/office/drawing/2014/main" id="{BF176FC2-0021-4D7C-AB7C-B0DD0BF42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15340" y="5875020"/>
          <a:ext cx="720000" cy="7200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</xdr:colOff>
      <xdr:row>8</xdr:row>
      <xdr:rowOff>30480</xdr:rowOff>
    </xdr:from>
    <xdr:to>
      <xdr:col>12</xdr:col>
      <xdr:colOff>15240</xdr:colOff>
      <xdr:row>16</xdr:row>
      <xdr:rowOff>106680</xdr:rowOff>
    </xdr:to>
    <xdr:sp macro="" textlink="">
      <xdr:nvSpPr>
        <xdr:cNvPr id="3" name="TextBox 2" hidden="1">
          <a:extLst>
            <a:ext uri="{FF2B5EF4-FFF2-40B4-BE49-F238E27FC236}">
              <a16:creationId xmlns:a16="http://schemas.microsoft.com/office/drawing/2014/main" id="{062F38F6-E1E3-4316-8A66-B778FC7F9D75}"/>
            </a:ext>
          </a:extLst>
        </xdr:cNvPr>
        <xdr:cNvSpPr txBox="1"/>
      </xdr:nvSpPr>
      <xdr:spPr>
        <a:xfrm>
          <a:off x="5684520" y="1104900"/>
          <a:ext cx="3223260" cy="1485900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000" i="1"/>
            <a:t>Using the good old fashioned VLOOKUP</a:t>
          </a:r>
        </a:p>
      </xdr:txBody>
    </xdr:sp>
    <xdr:clientData/>
  </xdr:twoCellAnchor>
  <xdr:twoCellAnchor>
    <xdr:from>
      <xdr:col>7</xdr:col>
      <xdr:colOff>594360</xdr:colOff>
      <xdr:row>21</xdr:row>
      <xdr:rowOff>30480</xdr:rowOff>
    </xdr:from>
    <xdr:to>
      <xdr:col>11</xdr:col>
      <xdr:colOff>792480</xdr:colOff>
      <xdr:row>29</xdr:row>
      <xdr:rowOff>60960</xdr:rowOff>
    </xdr:to>
    <xdr:sp macro="" textlink="">
      <xdr:nvSpPr>
        <xdr:cNvPr id="4" name="TextBox 3" hidden="1">
          <a:extLst>
            <a:ext uri="{FF2B5EF4-FFF2-40B4-BE49-F238E27FC236}">
              <a16:creationId xmlns:a16="http://schemas.microsoft.com/office/drawing/2014/main" id="{35E1B19F-05E9-4B0B-BB12-EE5077D9D22C}"/>
            </a:ext>
          </a:extLst>
        </xdr:cNvPr>
        <xdr:cNvSpPr txBox="1"/>
      </xdr:nvSpPr>
      <xdr:spPr>
        <a:xfrm>
          <a:off x="5661660" y="3398520"/>
          <a:ext cx="3223260" cy="1440180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000" i="1"/>
            <a:t>Using the new fancy XLOOKUP</a:t>
          </a:r>
        </a:p>
      </xdr:txBody>
    </xdr:sp>
    <xdr:clientData/>
  </xdr:twoCellAnchor>
  <xdr:oneCellAnchor>
    <xdr:from>
      <xdr:col>1</xdr:col>
      <xdr:colOff>205740</xdr:colOff>
      <xdr:row>1</xdr:row>
      <xdr:rowOff>45720</xdr:rowOff>
    </xdr:from>
    <xdr:ext cx="720000" cy="720000"/>
    <xdr:pic>
      <xdr:nvPicPr>
        <xdr:cNvPr id="5" name="Graphic 4" descr="Whole pizza">
          <a:extLst>
            <a:ext uri="{FF2B5EF4-FFF2-40B4-BE49-F238E27FC236}">
              <a16:creationId xmlns:a16="http://schemas.microsoft.com/office/drawing/2014/main" id="{86F0969E-6EFD-4F18-A70B-E91F11717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15340" y="228600"/>
          <a:ext cx="720000" cy="72000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205740</xdr:colOff>
      <xdr:row>1</xdr:row>
      <xdr:rowOff>45720</xdr:rowOff>
    </xdr:from>
    <xdr:ext cx="720000" cy="720000"/>
    <xdr:pic>
      <xdr:nvPicPr>
        <xdr:cNvPr id="3" name="Graphic 2" descr="Whole pizza">
          <a:extLst>
            <a:ext uri="{FF2B5EF4-FFF2-40B4-BE49-F238E27FC236}">
              <a16:creationId xmlns:a16="http://schemas.microsoft.com/office/drawing/2014/main" id="{53124148-D128-418B-84AE-1F5C86610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15340" y="228600"/>
          <a:ext cx="720000" cy="72000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205740</xdr:colOff>
      <xdr:row>1</xdr:row>
      <xdr:rowOff>45720</xdr:rowOff>
    </xdr:from>
    <xdr:ext cx="720000" cy="720000"/>
    <xdr:pic>
      <xdr:nvPicPr>
        <xdr:cNvPr id="3" name="Graphic 2" descr="Whole pizza">
          <a:extLst>
            <a:ext uri="{FF2B5EF4-FFF2-40B4-BE49-F238E27FC236}">
              <a16:creationId xmlns:a16="http://schemas.microsoft.com/office/drawing/2014/main" id="{FE9F1A4A-B44C-4DEC-B44F-BCF5EE61C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15340" y="228600"/>
          <a:ext cx="720000" cy="72000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205740</xdr:colOff>
      <xdr:row>1</xdr:row>
      <xdr:rowOff>45720</xdr:rowOff>
    </xdr:from>
    <xdr:ext cx="720000" cy="720000"/>
    <xdr:pic>
      <xdr:nvPicPr>
        <xdr:cNvPr id="3" name="Graphic 2" descr="Whole pizza">
          <a:extLst>
            <a:ext uri="{FF2B5EF4-FFF2-40B4-BE49-F238E27FC236}">
              <a16:creationId xmlns:a16="http://schemas.microsoft.com/office/drawing/2014/main" id="{B238F8C3-A6EF-4633-B18E-C081CB756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15340" y="228600"/>
          <a:ext cx="720000" cy="72000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571500</xdr:colOff>
      <xdr:row>1</xdr:row>
      <xdr:rowOff>45720</xdr:rowOff>
    </xdr:from>
    <xdr:ext cx="720000" cy="720000"/>
    <xdr:pic>
      <xdr:nvPicPr>
        <xdr:cNvPr id="2" name="Graphic 1" descr="Whole pizza">
          <a:extLst>
            <a:ext uri="{FF2B5EF4-FFF2-40B4-BE49-F238E27FC236}">
              <a16:creationId xmlns:a16="http://schemas.microsoft.com/office/drawing/2014/main" id="{93815DF0-611B-4DA0-9093-1B02C37AE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790700" y="228600"/>
          <a:ext cx="720000" cy="720000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87630</xdr:colOff>
      <xdr:row>6</xdr:row>
      <xdr:rowOff>102870</xdr:rowOff>
    </xdr:from>
    <xdr:to>
      <xdr:col>12</xdr:col>
      <xdr:colOff>834390</xdr:colOff>
      <xdr:row>13</xdr:row>
      <xdr:rowOff>118110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A0DA968-668D-439E-AC1D-DD8FB28DCA9A}"/>
            </a:ext>
          </a:extLst>
        </xdr:cNvPr>
        <xdr:cNvSpPr txBox="1"/>
      </xdr:nvSpPr>
      <xdr:spPr>
        <a:xfrm>
          <a:off x="7136130" y="1169670"/>
          <a:ext cx="1965960" cy="1226820"/>
        </a:xfrm>
        <a:prstGeom prst="rect">
          <a:avLst/>
        </a:prstGeom>
        <a:solidFill>
          <a:schemeClr val="accent6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 b="1">
              <a:solidFill>
                <a:schemeClr val="bg1"/>
              </a:solidFill>
            </a:rPr>
            <a:t>Cross</a:t>
          </a:r>
          <a:r>
            <a:rPr lang="en-GB" sz="1100" b="1" baseline="0">
              <a:solidFill>
                <a:schemeClr val="bg1"/>
              </a:solidFill>
            </a:rPr>
            <a:t> Search with</a:t>
          </a:r>
        </a:p>
        <a:p>
          <a:pPr algn="ctr"/>
          <a:r>
            <a:rPr lang="en-GB" sz="1100" b="1" baseline="0">
              <a:solidFill>
                <a:schemeClr val="bg1"/>
              </a:solidFill>
            </a:rPr>
            <a:t>XLOOKUP</a:t>
          </a:r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510540</xdr:colOff>
      <xdr:row>18</xdr:row>
      <xdr:rowOff>45720</xdr:rowOff>
    </xdr:from>
    <xdr:to>
      <xdr:col>10</xdr:col>
      <xdr:colOff>160020</xdr:colOff>
      <xdr:row>23</xdr:row>
      <xdr:rowOff>45720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1DAFBD0-1B67-4D1D-8F5F-8AD9D96B30A0}"/>
            </a:ext>
          </a:extLst>
        </xdr:cNvPr>
        <xdr:cNvSpPr txBox="1"/>
      </xdr:nvSpPr>
      <xdr:spPr>
        <a:xfrm>
          <a:off x="5166360" y="3215640"/>
          <a:ext cx="2042160" cy="876300"/>
        </a:xfrm>
        <a:prstGeom prst="rect">
          <a:avLst/>
        </a:prstGeom>
        <a:solidFill>
          <a:schemeClr val="accent6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 b="1">
              <a:solidFill>
                <a:schemeClr val="bg1"/>
              </a:solidFill>
            </a:rPr>
            <a:t>Cross</a:t>
          </a:r>
          <a:r>
            <a:rPr lang="en-GB" sz="1100" b="1" baseline="0">
              <a:solidFill>
                <a:schemeClr val="bg1"/>
              </a:solidFill>
            </a:rPr>
            <a:t> Search with </a:t>
          </a:r>
        </a:p>
        <a:p>
          <a:pPr algn="ctr"/>
          <a:r>
            <a:rPr lang="en-GB" sz="1100" b="1" baseline="0">
              <a:solidFill>
                <a:schemeClr val="bg1"/>
              </a:solidFill>
            </a:rPr>
            <a:t>INDEX MATCH MATCH</a:t>
          </a:r>
          <a:endParaRPr lang="en-GB" sz="1100" b="1">
            <a:solidFill>
              <a:schemeClr val="bg1"/>
            </a:solidFill>
          </a:endParaRPr>
        </a:p>
      </xdr:txBody>
    </xdr:sp>
    <xdr:clientData/>
  </xdr:twoCellAnchor>
  <xdr:oneCellAnchor>
    <xdr:from>
      <xdr:col>1</xdr:col>
      <xdr:colOff>205740</xdr:colOff>
      <xdr:row>1</xdr:row>
      <xdr:rowOff>45720</xdr:rowOff>
    </xdr:from>
    <xdr:ext cx="720000" cy="720000"/>
    <xdr:pic>
      <xdr:nvPicPr>
        <xdr:cNvPr id="5" name="Graphic 4" descr="Whole pizza">
          <a:extLst>
            <a:ext uri="{FF2B5EF4-FFF2-40B4-BE49-F238E27FC236}">
              <a16:creationId xmlns:a16="http://schemas.microsoft.com/office/drawing/2014/main" id="{D35B2361-77F8-40CF-B54D-E591930F8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15340" y="228600"/>
          <a:ext cx="720000" cy="720000"/>
        </a:xfrm>
        <a:prstGeom prst="rect">
          <a:avLst/>
        </a:prstGeom>
      </xdr:spPr>
    </xdr:pic>
    <xdr:clientData/>
  </xdr:one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032BD91F-243C-4B8B-82D5-8347C82AA6E4}" autoFormatId="16" applyNumberFormats="0" applyBorderFormats="0" applyFontFormats="0" applyPatternFormats="0" applyAlignmentFormats="0" applyWidthHeightFormats="0">
  <queryTableRefresh nextId="3">
    <queryTableFields count="1">
      <queryTableField id="2" name="SheetName" tableColumnId="2"/>
    </queryTableFields>
  </queryTableRefresh>
</queryTable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1566777-7F38-44A8-AA1A-1E84C8AF13A3}" name="Table1" displayName="Table1" ref="V1:V2" totalsRowShown="0" headerRowDxfId="81" dataDxfId="80">
  <autoFilter ref="V1:V2" xr:uid="{21566777-7F38-44A8-AA1A-1E84C8AF13A3}"/>
  <tableColumns count="1">
    <tableColumn id="1" xr3:uid="{0BC73A1D-3255-4EC4-95B4-90D16A79424B}" name="WorkbookPath" dataDxfId="79">
      <calculatedColumnFormula array="1">_xlfn.LET(_xlpm.x,CELL("filename"),SUBSTITUTE(LEFT(_xlpm.x,SEARCH("]",_xlpm.x)-1),"[",""))</calculatedColumnFormula>
    </tableColumn>
  </tableColumns>
  <tableStyleInfo name="TableStyleLight2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7C3B93DB-D34D-4B72-A2F3-B267E9EF1D71}" name="TblPizza81" displayName="TblPizza81" ref="C8:H34" totalsRowShown="0" headerRowDxfId="18" dataDxfId="17">
  <autoFilter ref="C8:H34" xr:uid="{E2894E4D-6346-4AA8-BBCF-6F05463573B2}"/>
  <tableColumns count="6">
    <tableColumn id="2" xr3:uid="{EA3004CF-5932-4C96-A779-4E502C82241D}" name="Date" dataDxfId="16"/>
    <tableColumn id="3" xr3:uid="{BA3B9E4E-E3DD-410F-9821-DCCBADA59BA1}" name="Pizza" dataDxfId="15"/>
    <tableColumn id="6" xr3:uid="{C8B5AC21-26E0-4A22-86D0-38DE00174C4E}" name="Location" dataDxfId="14"/>
    <tableColumn id="5" xr3:uid="{704FF6A4-79BD-4E74-87EC-3E052C869484}" name="Notes" dataDxfId="13"/>
    <tableColumn id="4" xr3:uid="{601AD08E-1E97-4579-9CDB-5D4B2FDDDF8E}" name="Sales" dataDxfId="12"/>
    <tableColumn id="1" xr3:uid="{610657F3-5BDF-45D4-ADE9-DCDD8BCB5467}" name="Rating" dataDxfId="11"/>
  </tableColumns>
  <tableStyleInfo name="TableStyleLight14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BB0AE4D-BCE3-405A-B3A2-F260FAC6A45D}" name="tblXOR_1" displayName="tblXOR_1" ref="B10:G21" totalsRowShown="0" headerRowDxfId="10">
  <autoFilter ref="B10:G21" xr:uid="{1BB0AE4D-BCE3-405A-B3A2-F260FAC6A45D}"/>
  <tableColumns count="6">
    <tableColumn id="1" xr3:uid="{FD0A2475-008F-43CD-BF0E-01A08B8C6E43}" name="Client" dataDxfId="9"/>
    <tableColumn id="2" xr3:uid="{FD23864A-E169-4D39-9240-50332F12ED37}" name="Pizza BI Central" dataDxfId="8"/>
    <tableColumn id="3" xr3:uid="{C8D4FC6D-E972-44A5-BBE6-2565A2197371}" name="Pizza BI by the lake" dataDxfId="7"/>
    <tableColumn id="4" xr3:uid="{23A2A5A7-BC0A-4C78-B32C-293D5B2E86C1}" name="XOR Test 1" dataDxfId="6">
      <calculatedColumnFormula>_xlfn.XOR(tblXOR_1[[#This Row],[Pizza BI Central]:[Pizza BI by the lake]])</calculatedColumnFormula>
    </tableColumn>
    <tableColumn id="5" xr3:uid="{6EB7E13E-DCCE-493E-9805-D6FFEF9B74D8}" name="XOR Test 2" dataDxfId="5">
      <calculatedColumnFormula>IF(AND(tblXOR_1[[#This Row],[Pizza BI Central]]=0,tblXOR_1[[#This Row],[Pizza BI by the lake]]=0),"not tonight",_xlfn.XOR(tblXOR_1[[#This Row],[Pizza BI Central]:[Pizza BI by the lake]]))</calculatedColumnFormula>
    </tableColumn>
    <tableColumn id="6" xr3:uid="{C1B862F6-0B12-4542-9776-95F23C82BB5D}" name="A better result" dataDxfId="4">
      <calculatedColumnFormula array="1">IFERROR(IF(tblXOR_1[[#This Row],[XOR Test 2]],_xlfn.XLOOKUP(1,tblXOR_1[[#This Row],[Pizza BI Central]:[Pizza BI by the lake]],tblXOR_1[[#Headers],[Pizza BI Central]:[Pizza BI by the lake]]),"you can't be in two places at the same time, can you?"),"")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F0ECDC2-6934-4BA4-AA4E-3E327C1BF1EE}" name="TableOfContents" displayName="TableOfContents" ref="T6:T24" tableType="queryTable" totalsRowShown="0" headerRowDxfId="78" dataDxfId="77">
  <autoFilter ref="T6:T24" xr:uid="{7F0ECDC2-6934-4BA4-AA4E-3E327C1BF1EE}"/>
  <tableColumns count="1">
    <tableColumn id="2" xr3:uid="{776ECC64-D1F9-46F3-B6B3-18F2147E2F3B}" uniqueName="2" name="SheetName" queryTableFieldId="2" dataDxfId="76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D3C9C9D-7C58-4729-8AE5-A5D69BE0269F}" name="TblPizza" displayName="TblPizza" ref="C8:G30" totalsRowShown="0" headerRowDxfId="75" dataDxfId="74">
  <autoFilter ref="C8:G30" xr:uid="{872A3AD2-BAA2-4F63-8351-B3EE9A3AFE9C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2" xr3:uid="{4EFDE3EC-9263-4342-A364-DCB152FFAB8B}" name="Category" dataDxfId="73"/>
    <tableColumn id="3" xr3:uid="{BACCB4A0-5559-452B-9623-F783A53071D9}" name="Pizza" dataDxfId="72"/>
    <tableColumn id="4" xr3:uid="{F9C2DC3F-AC49-4E7C-A586-96C70354E3D3}" name="Quantity" dataDxfId="71"/>
    <tableColumn id="5" xr3:uid="{5047A7E7-74EA-4296-9B84-E6B6A2241AD6}" name="Rating" dataDxfId="70"/>
    <tableColumn id="1" xr3:uid="{4ECAC3E3-B799-435D-BCC6-87570E53C346}" name="Last purchase" dataDxfId="69"/>
  </tableColumns>
  <tableStyleInfo name="TableStyleLight1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E196A6E-DB5F-4614-910C-FCF608F69D96}" name="TblPizza2" displayName="TblPizza2" ref="C8:G30" totalsRowShown="0" headerRowDxfId="68" dataDxfId="67" headerRowCellStyle="Normal 2">
  <autoFilter ref="C8:G30" xr:uid="{A24FA64D-AA26-43B9-9B8A-C7D9D7E60BC7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2" xr3:uid="{920B9048-AC79-497C-998D-E7E2A2DC6294}" name="Category" dataDxfId="66"/>
    <tableColumn id="3" xr3:uid="{9C1EF48A-6D3D-48ED-85BB-BD5E7D7B091D}" name="Pizza" dataDxfId="65"/>
    <tableColumn id="4" xr3:uid="{07D1E1A9-F208-4129-9994-D4C8D7A99B1B}" name="Quantity" dataDxfId="64"/>
    <tableColumn id="5" xr3:uid="{96DADD6A-4ADA-41B4-8CEA-53E255F83DF4}" name="Rating" dataDxfId="63"/>
    <tableColumn id="1" xr3:uid="{6F0F2053-A9F5-4E51-8BB3-04EC9CD51C32}" name="Last purchase" dataDxfId="62"/>
  </tableColumns>
  <tableStyleInfo name="TableStyleLight1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EE964C4-F072-4DA6-A21B-6C44B49488C4}" name="TblPizza7" displayName="TblPizza7" ref="C8:J30" totalsRowShown="0" headerRowDxfId="60" dataDxfId="59">
  <autoFilter ref="C8:J30" xr:uid="{29ED2F62-5239-4C93-B3FE-54EE2C6B9DF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2" xr3:uid="{81F3C956-0C75-4E4E-AB08-93A13D1F6860}" name="Category" dataDxfId="58"/>
    <tableColumn id="3" xr3:uid="{B14E3E8B-0AB7-4F87-BFFE-98181E627988}" name="Pizza" dataDxfId="57"/>
    <tableColumn id="4" xr3:uid="{7A2A3EAB-1A23-48E4-AF57-BE76D829FBBB}" name="Quantity" dataDxfId="56"/>
    <tableColumn id="5" xr3:uid="{30855546-9AFC-4110-BACA-C244DCC2C5AA}" name="Rating" dataDxfId="55"/>
    <tableColumn id="1" xr3:uid="{6CE9A611-8AE2-4895-806D-B5D887D901DF}" name="Last purchase" dataDxfId="54"/>
    <tableColumn id="6" xr3:uid="{46A04049-77B7-4FE9-AAA2-2595D9E2D9EA}" name="Comment XLOOKUP" dataDxfId="53">
      <calculatedColumnFormula>_xlfn.XLOOKUP(TblPizza7[[#This Row],[Quantity]],$M$9:$M$13,$N$9:$N$13,,-1)</calculatedColumnFormula>
    </tableColumn>
    <tableColumn id="8" xr3:uid="{02C37E72-DC16-4AA5-AC23-ABDE812698E1}" name="Comment INDEX MATCH" dataDxfId="52">
      <calculatedColumnFormula>INDEX($N$9:$N$13,MATCH(TblPizza7[[#This Row],[Quantity]],$M$9:$M$13,1))</calculatedColumnFormula>
    </tableColumn>
    <tableColumn id="7" xr3:uid="{92D8EF59-6076-4C6E-8154-7D221F80E8A6}" name="Comment VLOOKUP" dataDxfId="51">
      <calculatedColumnFormula>VLOOKUP(TblPizza7[[#This Row],[Quantity]],$M$9:$N$13,2)</calculatedColumnFormula>
    </tableColumn>
  </tableColumns>
  <tableStyleInfo name="TableStyleLight14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A643B58-D84B-4AA6-81C0-55F9076BDC5D}" name="TblPizza5" displayName="TblPizza5" ref="C8:G32" totalsRowCount="1" headerRowDxfId="50" dataDxfId="49" totalsRowDxfId="48">
  <autoFilter ref="C8:G31" xr:uid="{393E090E-A4BD-452C-8CC1-911CEA973003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2" xr3:uid="{DDF41D48-A5E8-4BEB-BC66-08DD201E8FEA}" name="Category" dataDxfId="47" totalsRowDxfId="46"/>
    <tableColumn id="3" xr3:uid="{5A615584-286E-4D83-B03C-0A2201E746E6}" name="Pizza" dataDxfId="45" totalsRowDxfId="44"/>
    <tableColumn id="4" xr3:uid="{741D8CC7-076C-442A-B587-43434B019CCD}" name="Quantity Today" totalsRowFunction="sum" dataDxfId="43" totalsRowDxfId="42"/>
    <tableColumn id="5" xr3:uid="{FA87159E-4B89-4680-A23F-B7FF60414C67}" name="Quantity Yesterday" totalsRowFunction="sum" dataDxfId="41" totalsRowDxfId="40"/>
    <tableColumn id="1" xr3:uid="{10E5533D-F121-43D8-B1EA-512E9D0C018A}" name="Change" dataDxfId="39" totalsRowDxfId="38">
      <calculatedColumnFormula array="1">_xlfn.SWITCH(TRUE,
TblPizza5[[#This Row],[Quantity Yesterday]]&lt;TblPizza5[[#This Row],[Quantity Today]],"👍 "&amp;TEXT(TblPizza5[[#This Row],[Quantity Today]]/TblPizza5[[#This Row],[Quantity Yesterday]]-1,"0%"),
TblPizza5[[#This Row],[Quantity Yesterday]]&gt;TblPizza5[[#This Row],[Quantity Today]],"👎 "&amp;TEXT(TblPizza5[[#This Row],[Quantity Today]]/TblPizza5[[#This Row],[Quantity Yesterday]]-1,"0%"),
TEXT(0,"0%"))</calculatedColumnFormula>
    </tableColumn>
  </tableColumns>
  <tableStyleInfo name="TableStyleLight14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99B2171-8194-4B1A-AD9E-81660AF237D4}" name="TblPizza6" displayName="TblPizza6" ref="C8:E30" totalsRowShown="0" headerRowDxfId="37" dataDxfId="36">
  <autoFilter ref="C8:E30" xr:uid="{C3A72BB5-5CD4-4D91-8613-49E264214273}">
    <filterColumn colId="0" hiddenButton="1"/>
    <filterColumn colId="1" hiddenButton="1"/>
    <filterColumn colId="2" hiddenButton="1"/>
  </autoFilter>
  <tableColumns count="3">
    <tableColumn id="2" xr3:uid="{987774E0-9ECA-4327-AA25-93CE30D50589}" name="Date" dataDxfId="35"/>
    <tableColumn id="3" xr3:uid="{ABB83DB3-321E-4FB1-A3D7-F29E73B0461A}" name="Pizza" dataDxfId="34"/>
    <tableColumn id="4" xr3:uid="{B163379C-49F2-4D24-8781-4135CFFC0B8E}" name="Sales" dataDxfId="33"/>
  </tableColumns>
  <tableStyleInfo name="TableStyleLight14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424A4BB-A02A-47D5-8A87-4FB878E02665}" name="TblPizza612" displayName="TblPizza612" ref="B8:E24" totalsRowShown="0" headerRowDxfId="31" dataDxfId="30">
  <autoFilter ref="B8:E24" xr:uid="{C3A72BB5-5CD4-4D91-8613-49E264214273}">
    <filterColumn colId="0" hiddenButton="1"/>
    <filterColumn colId="1" hiddenButton="1"/>
    <filterColumn colId="2" hiddenButton="1"/>
    <filterColumn colId="3" hiddenButton="1"/>
  </autoFilter>
  <tableColumns count="4">
    <tableColumn id="2" xr3:uid="{641EDF3B-DB02-4D16-96F2-309A67175B11}" name="Date" dataDxfId="29"/>
    <tableColumn id="3" xr3:uid="{1CA3FB15-4834-4C8A-A3C4-40B9C3F8D060}" name="Pizza" dataDxfId="28"/>
    <tableColumn id="1" xr3:uid="{8F23BA50-7EE0-4619-8870-A216732E8F5C}" name="Location" dataDxfId="27" dataCellStyle="Normal 2"/>
    <tableColumn id="4" xr3:uid="{2E4F1B0A-6C39-4E55-A49C-B8CE21DC2710}" name="Sales" dataDxfId="26"/>
  </tableColumns>
  <tableStyleInfo name="TableStyleLight14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81D6CB4-B2D4-40F3-99B9-B62981A1B3D3}" name="TblPizza3" displayName="TblPizza3" ref="C9:F21" totalsRowShown="0" headerRowDxfId="24" dataDxfId="23">
  <autoFilter ref="C9:F21" xr:uid="{0FDB0B8B-1616-437C-BD7F-F8EB3E20EFAD}">
    <filterColumn colId="0" hiddenButton="1"/>
    <filterColumn colId="1" hiddenButton="1"/>
    <filterColumn colId="2" hiddenButton="1"/>
    <filterColumn colId="3" hiddenButton="1"/>
  </autoFilter>
  <tableColumns count="4">
    <tableColumn id="2" xr3:uid="{CA7C34AA-FCF3-42DF-8E0B-C19719B01DA0}" name="Month" dataDxfId="22"/>
    <tableColumn id="3" xr3:uid="{78E6B160-4C51-4D90-9883-F8E0714D7A0D}" name="Margherita" dataDxfId="21"/>
    <tableColumn id="4" xr3:uid="{3E01B7CB-89F9-44BE-BAB5-76C9557EE902}" name="Marinara" dataDxfId="20"/>
    <tableColumn id="5" xr3:uid="{17839EA7-53E8-4159-891C-43904FDF028F}" name="Napoletana" dataDxfId="19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linkedin.com/in/enricodecrescenzo/" TargetMode="External"/><Relationship Id="rId7" Type="http://schemas.openxmlformats.org/officeDocument/2006/relationships/table" Target="../tables/table2.xml"/><Relationship Id="rId2" Type="http://schemas.openxmlformats.org/officeDocument/2006/relationships/hyperlink" Target="https://www.meetup.com/PowerExcel-Zurich-Meetup/" TargetMode="External"/><Relationship Id="rId1" Type="http://schemas.openxmlformats.org/officeDocument/2006/relationships/hyperlink" Target="https://enricodecrescenzo.com/" TargetMode="External"/><Relationship Id="rId6" Type="http://schemas.openxmlformats.org/officeDocument/2006/relationships/table" Target="../tables/table1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linkedin.com/in/enricodecrescenzo/" TargetMode="External"/><Relationship Id="rId2" Type="http://schemas.openxmlformats.org/officeDocument/2006/relationships/hyperlink" Target="https://www.meetup.com/PowerExcel-Zurich-Meetup/" TargetMode="External"/><Relationship Id="rId1" Type="http://schemas.openxmlformats.org/officeDocument/2006/relationships/hyperlink" Target="https://enricodecrescenzo.com/" TargetMode="External"/><Relationship Id="rId4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1.xml"/><Relationship Id="rId4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273C4-F022-47B3-AEC6-B64CF9253DD4}">
  <dimension ref="F1:V39"/>
  <sheetViews>
    <sheetView showGridLines="0" workbookViewId="0">
      <selection activeCell="V13" sqref="V13"/>
    </sheetView>
  </sheetViews>
  <sheetFormatPr defaultColWidth="9.140625" defaultRowHeight="12.75"/>
  <cols>
    <col min="1" max="2" width="9.140625" style="5"/>
    <col min="3" max="3" width="15.7109375" style="5" customWidth="1"/>
    <col min="4" max="19" width="9.140625" style="5"/>
    <col min="20" max="20" width="17.7109375" style="5" bestFit="1" customWidth="1"/>
    <col min="21" max="21" width="13.85546875" style="5" customWidth="1"/>
    <col min="22" max="16384" width="9.140625" style="5"/>
  </cols>
  <sheetData>
    <row r="1" spans="20:22">
      <c r="V1" s="5" t="s">
        <v>72</v>
      </c>
    </row>
    <row r="2" spans="20:22">
      <c r="V2" s="5" t="str" cm="1">
        <f t="array" aca="1" ref="V2" ca="1">_xlfn.LET(_xlpm.x,CELL("filename"),SUBSTITUTE(LEFT(_xlpm.x,SEARCH("]",_xlpm.x)-1),"[",""))</f>
        <v>https://d.docs.live.net/788f8febbdb7a3e7/Documents/Computergaga/_excel/files/london-excel-meetup/x-force-in-excel.xlsx</v>
      </c>
    </row>
    <row r="6" spans="20:22">
      <c r="T6" t="s">
        <v>85</v>
      </c>
      <c r="V6" s="14" t="s">
        <v>87</v>
      </c>
    </row>
    <row r="7" spans="20:22">
      <c r="T7" s="13" t="s">
        <v>86</v>
      </c>
      <c r="V7" s="7" t="str">
        <f>HYPERLINK("#"&amp;"'"&amp;TableOfContents[[#This Row],[SheetName]]&amp;"'!A1",TableOfContents[[#This Row],[SheetName]])</f>
        <v>About and Summary</v>
      </c>
    </row>
    <row r="8" spans="20:22">
      <c r="T8" s="13" t="s">
        <v>11</v>
      </c>
      <c r="V8" s="7" t="str">
        <f>HYPERLINK("#"&amp;"'"&amp;TableOfContents[[#This Row],[SheetName]]&amp;"'!A1",TableOfContents[[#This Row],[SheetName]])</f>
        <v>XLOOKUP</v>
      </c>
    </row>
    <row r="9" spans="20:22">
      <c r="T9" s="13" t="s">
        <v>166</v>
      </c>
      <c r="V9" s="7" t="str">
        <f>HYPERLINK("#"&amp;"'"&amp;TableOfContents[[#This Row],[SheetName]]&amp;"'!A1",TableOfContents[[#This Row],[SheetName]])</f>
        <v>As an Array formula</v>
      </c>
    </row>
    <row r="10" spans="20:22">
      <c r="T10" s="13" t="s">
        <v>167</v>
      </c>
      <c r="V10" s="7" t="str">
        <f>HYPERLINK("#"&amp;"'"&amp;TableOfContents[[#This Row],[SheetName]]&amp;"'!A1",TableOfContents[[#This Row],[SheetName]])</f>
        <v>Error Handling</v>
      </c>
    </row>
    <row r="11" spans="20:22">
      <c r="T11" s="13" t="s">
        <v>168</v>
      </c>
      <c r="V11" s="7" t="str">
        <f>HYPERLINK("#"&amp;"'"&amp;TableOfContents[[#This Row],[SheetName]]&amp;"'!A1",TableOfContents[[#This Row],[SheetName]])</f>
        <v>Approximate Match</v>
      </c>
    </row>
    <row r="12" spans="20:22">
      <c r="T12" s="13" t="s">
        <v>169</v>
      </c>
      <c r="V12" s="7" t="str">
        <f>HYPERLINK("#"&amp;"'"&amp;TableOfContents[[#This Row],[SheetName]]&amp;"'!A1",TableOfContents[[#This Row],[SheetName]])</f>
        <v>Wildcard</v>
      </c>
    </row>
    <row r="13" spans="20:22">
      <c r="T13" s="13" t="s">
        <v>170</v>
      </c>
      <c r="V13" s="7" t="str">
        <f>HYPERLINK("#"&amp;"'"&amp;TableOfContents[[#This Row],[SheetName]]&amp;"'!A1",TableOfContents[[#This Row],[SheetName]])</f>
        <v>Dynamic Range</v>
      </c>
    </row>
    <row r="14" spans="20:22">
      <c r="T14" s="13" t="s">
        <v>199</v>
      </c>
      <c r="V14" s="7" t="str">
        <f>HYPERLINK("#"&amp;"'"&amp;TableOfContents[[#This Row],[SheetName]]&amp;"'!A1",TableOfContents[[#This Row],[SheetName]])</f>
        <v>Dynamic Range (2)</v>
      </c>
    </row>
    <row r="15" spans="20:22">
      <c r="T15" s="13" t="s">
        <v>171</v>
      </c>
      <c r="V15" s="7" t="str">
        <f>HYPERLINK("#"&amp;"'"&amp;TableOfContents[[#This Row],[SheetName]]&amp;"'!A1",TableOfContents[[#This Row],[SheetName]])</f>
        <v>Embedded</v>
      </c>
    </row>
    <row r="16" spans="20:22">
      <c r="T16" s="13" t="s">
        <v>186</v>
      </c>
      <c r="V16" s="7" t="str">
        <f>HYPERLINK("#"&amp;"'"&amp;TableOfContents[[#This Row],[SheetName]]&amp;"'!A1",TableOfContents[[#This Row],[SheetName]])</f>
        <v>Multiple Criteria</v>
      </c>
    </row>
    <row r="17" spans="6:22">
      <c r="T17" s="13" t="s">
        <v>82</v>
      </c>
      <c r="V17" s="7" t="str">
        <f>HYPERLINK("#"&amp;"'"&amp;TableOfContents[[#This Row],[SheetName]]&amp;"'!A1",TableOfContents[[#This Row],[SheetName]])</f>
        <v>XNPV &amp; XIRR</v>
      </c>
    </row>
    <row r="18" spans="6:22">
      <c r="T18" s="13" t="s">
        <v>83</v>
      </c>
      <c r="V18" s="7" t="str">
        <f>HYPERLINK("#"&amp;"'"&amp;TableOfContents[[#This Row],[SheetName]]&amp;"'!A1",TableOfContents[[#This Row],[SheetName]])</f>
        <v>XNPV &amp; XIRR (2)</v>
      </c>
    </row>
    <row r="19" spans="6:22">
      <c r="T19" s="13" t="s">
        <v>10</v>
      </c>
      <c r="V19" s="7" t="str">
        <f>HYPERLINK("#"&amp;"'"&amp;TableOfContents[[#This Row],[SheetName]]&amp;"'!A1",TableOfContents[[#This Row],[SheetName]])</f>
        <v>XOR</v>
      </c>
    </row>
    <row r="20" spans="6:22">
      <c r="T20" s="13" t="s">
        <v>84</v>
      </c>
      <c r="V20" s="7" t="str">
        <f>HYPERLINK("#"&amp;"'"&amp;TableOfContents[[#This Row],[SheetName]]&amp;"'!A1",TableOfContents[[#This Row],[SheetName]])</f>
        <v>XOR (2)</v>
      </c>
    </row>
    <row r="21" spans="6:22">
      <c r="T21" s="13" t="s">
        <v>12</v>
      </c>
      <c r="V21" s="7" t="str">
        <f>HYPERLINK("#"&amp;"'"&amp;TableOfContents[[#This Row],[SheetName]]&amp;"'!A1",TableOfContents[[#This Row],[SheetName]])</f>
        <v>XMATCH</v>
      </c>
    </row>
    <row r="22" spans="6:22">
      <c r="T22" s="13" t="s">
        <v>184</v>
      </c>
      <c r="V22" s="7" t="str">
        <f>HYPERLINK("#"&amp;"'"&amp;TableOfContents[[#This Row],[SheetName]]&amp;"'!A1",TableOfContents[[#This Row],[SheetName]])</f>
        <v>XMATCH (2)</v>
      </c>
    </row>
    <row r="23" spans="6:22">
      <c r="K23" s="5" t="s">
        <v>73</v>
      </c>
      <c r="T23" s="13" t="s">
        <v>185</v>
      </c>
      <c r="V23" s="7" t="str">
        <f>HYPERLINK("#"&amp;"'"&amp;TableOfContents[[#This Row],[SheetName]]&amp;"'!A1",TableOfContents[[#This Row],[SheetName]])</f>
        <v>XMATCH (3)</v>
      </c>
    </row>
    <row r="24" spans="6:22">
      <c r="T24" s="13" t="s">
        <v>189</v>
      </c>
      <c r="V24" s="7" t="str">
        <f>HYPERLINK("#"&amp;"'"&amp;TableOfContents[[#This Row],[SheetName]]&amp;"'!A1",TableOfContents[[#This Row],[SheetName]])</f>
        <v>Thanks</v>
      </c>
    </row>
    <row r="26" spans="6:22" ht="44.25">
      <c r="F26" s="6" t="s">
        <v>71</v>
      </c>
      <c r="N26"/>
    </row>
    <row r="29" spans="6:22">
      <c r="F29"/>
      <c r="H29" s="7" t="s">
        <v>76</v>
      </c>
    </row>
    <row r="34" spans="6:11">
      <c r="F34"/>
      <c r="H34" s="7" t="s">
        <v>75</v>
      </c>
    </row>
    <row r="39" spans="6:11">
      <c r="F39"/>
      <c r="H39" s="7" t="s">
        <v>74</v>
      </c>
      <c r="K39" s="5" t="s">
        <v>77</v>
      </c>
    </row>
  </sheetData>
  <hyperlinks>
    <hyperlink ref="H39" r:id="rId1" xr:uid="{DDB59436-26D2-42E6-B661-3EAC59B6A52E}"/>
    <hyperlink ref="H34" r:id="rId2" xr:uid="{6DB315D7-EF1F-4828-96FA-DDCE9EE3FFDE}"/>
    <hyperlink ref="H29" r:id="rId3" xr:uid="{A40E0005-B7E0-47BA-9027-B25A714ED5F4}"/>
  </hyperlinks>
  <pageMargins left="0.7" right="0.7" top="0.75" bottom="0.75" header="0.3" footer="0.3"/>
  <pageSetup paperSize="9" orientation="portrait" r:id="rId4"/>
  <drawing r:id="rId5"/>
  <tableParts count="2">
    <tablePart r:id="rId6"/>
    <tablePart r:id="rId7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05D67-1A1D-4A50-88F3-BCFF69120E04}">
  <sheetPr>
    <tabColor theme="9" tint="0.59999389629810485"/>
  </sheetPr>
  <dimension ref="A1:Z34"/>
  <sheetViews>
    <sheetView showGridLines="0" workbookViewId="0">
      <selection activeCell="H9" sqref="H9"/>
    </sheetView>
  </sheetViews>
  <sheetFormatPr defaultColWidth="8.85546875" defaultRowHeight="12.75"/>
  <cols>
    <col min="1" max="2" width="2.7109375" style="19" customWidth="1"/>
    <col min="3" max="3" width="10.28515625" style="19" bestFit="1" customWidth="1"/>
    <col min="4" max="4" width="16.42578125" style="19" bestFit="1" customWidth="1"/>
    <col min="5" max="6" width="16.42578125" style="19" customWidth="1"/>
    <col min="7" max="7" width="10.28515625" style="19" bestFit="1" customWidth="1"/>
    <col min="8" max="9" width="8.85546875" style="19"/>
    <col min="10" max="10" width="10.5703125" style="19" bestFit="1" customWidth="1"/>
    <col min="11" max="11" width="13.7109375" style="19" bestFit="1" customWidth="1"/>
    <col min="12" max="13" width="13.7109375" style="19" customWidth="1"/>
    <col min="14" max="14" width="10" style="19" bestFit="1" customWidth="1"/>
    <col min="15" max="15" width="11.5703125" style="19" customWidth="1"/>
    <col min="16" max="21" width="8.85546875" style="19"/>
    <col min="22" max="22" width="10.5703125" style="19" bestFit="1" customWidth="1"/>
    <col min="23" max="16384" width="8.85546875" style="19"/>
  </cols>
  <sheetData>
    <row r="1" spans="1:26" s="29" customFormat="1" ht="13.5" thickBot="1">
      <c r="A1" s="28" t="s">
        <v>156</v>
      </c>
    </row>
    <row r="2" spans="1:26" ht="13.5" thickTop="1">
      <c r="B2" s="8"/>
      <c r="C2" s="99" t="s">
        <v>8</v>
      </c>
      <c r="D2" s="99"/>
      <c r="E2" s="99"/>
      <c r="F2" s="99"/>
      <c r="H2" s="100" t="s">
        <v>11</v>
      </c>
      <c r="I2" s="100"/>
      <c r="J2" s="100"/>
      <c r="K2" s="100"/>
      <c r="L2" s="100"/>
      <c r="M2" s="100"/>
      <c r="N2" s="100"/>
      <c r="O2" s="100"/>
      <c r="P2" s="27"/>
      <c r="Q2" s="49" t="s">
        <v>88</v>
      </c>
    </row>
    <row r="3" spans="1:26">
      <c r="B3" s="8"/>
      <c r="C3" s="99"/>
      <c r="D3" s="99"/>
      <c r="E3" s="99"/>
      <c r="F3" s="99"/>
      <c r="H3" s="100"/>
      <c r="I3" s="100"/>
      <c r="J3" s="100"/>
      <c r="K3" s="100"/>
      <c r="L3" s="100"/>
      <c r="M3" s="100"/>
      <c r="N3" s="100"/>
      <c r="O3" s="100"/>
      <c r="P3" s="27"/>
      <c r="Q3" s="27"/>
      <c r="U3" s="19" t="str">
        <f ca="1">_xlfn.FORMULATEXT(N9)</f>
        <v>=XLOOKUP(J9&amp;K9&amp;L9&amp;M9,TblPizza81[Date]&amp;TblPizza81[Pizza]&amp;TblPizza81[Location]&amp;TblPizza81[Notes],TblPizza81[[Sales]:[Rating]],"not found")</v>
      </c>
    </row>
    <row r="4" spans="1:26">
      <c r="B4" s="8"/>
      <c r="C4" s="99"/>
      <c r="D4" s="99"/>
      <c r="E4" s="99"/>
      <c r="F4" s="99"/>
      <c r="H4" s="100"/>
      <c r="I4" s="100"/>
      <c r="J4" s="100"/>
      <c r="K4" s="100"/>
      <c r="L4" s="100"/>
      <c r="M4" s="100"/>
      <c r="N4" s="100"/>
      <c r="O4" s="100"/>
      <c r="P4" s="27"/>
      <c r="Q4" s="27"/>
    </row>
    <row r="5" spans="1:26">
      <c r="B5" s="8"/>
      <c r="C5" s="99"/>
      <c r="D5" s="99"/>
      <c r="E5" s="99"/>
      <c r="F5" s="99"/>
      <c r="H5" s="100"/>
      <c r="I5" s="100"/>
      <c r="J5" s="100"/>
      <c r="K5" s="100"/>
      <c r="L5" s="100"/>
      <c r="M5" s="100"/>
      <c r="N5" s="100"/>
      <c r="O5" s="100"/>
      <c r="P5" s="27"/>
      <c r="Q5" s="27"/>
    </row>
    <row r="6" spans="1:26">
      <c r="B6" s="8"/>
      <c r="C6" s="99"/>
      <c r="D6" s="99"/>
      <c r="E6" s="99"/>
      <c r="F6" s="99"/>
      <c r="H6" s="100"/>
      <c r="I6" s="100"/>
      <c r="J6" s="100"/>
      <c r="K6" s="100"/>
      <c r="L6" s="100"/>
      <c r="M6" s="100"/>
      <c r="N6" s="100"/>
      <c r="O6" s="100"/>
      <c r="P6" s="27"/>
      <c r="Q6" s="27"/>
    </row>
    <row r="7" spans="1:26" ht="12.75" customHeight="1">
      <c r="B7" s="8"/>
      <c r="C7" s="50"/>
      <c r="D7" s="50"/>
      <c r="E7" s="50"/>
      <c r="F7" s="50"/>
    </row>
    <row r="8" spans="1:26" ht="13.5" thickBot="1">
      <c r="C8" s="24" t="s">
        <v>136</v>
      </c>
      <c r="D8" s="24" t="s">
        <v>91</v>
      </c>
      <c r="E8" s="24" t="s">
        <v>157</v>
      </c>
      <c r="F8" s="24" t="s">
        <v>158</v>
      </c>
      <c r="G8" s="24" t="s">
        <v>133</v>
      </c>
      <c r="H8" s="24" t="s">
        <v>93</v>
      </c>
      <c r="J8" s="18" t="s">
        <v>136</v>
      </c>
      <c r="K8" s="18" t="s">
        <v>91</v>
      </c>
      <c r="L8" s="18" t="s">
        <v>157</v>
      </c>
      <c r="M8" s="18" t="s">
        <v>158</v>
      </c>
      <c r="N8" s="18" t="s">
        <v>133</v>
      </c>
      <c r="O8" s="18" t="s">
        <v>93</v>
      </c>
      <c r="U8" s="101" t="s">
        <v>159</v>
      </c>
      <c r="V8" s="101"/>
      <c r="W8" s="101"/>
      <c r="X8" s="101"/>
      <c r="Y8" s="101"/>
      <c r="Z8" s="101"/>
    </row>
    <row r="9" spans="1:26" ht="13.5" thickTop="1">
      <c r="C9" s="43">
        <v>44835</v>
      </c>
      <c r="D9" s="19" t="s">
        <v>23</v>
      </c>
      <c r="E9" s="19" t="s">
        <v>160</v>
      </c>
      <c r="F9" s="19" t="s">
        <v>161</v>
      </c>
      <c r="G9" s="76">
        <v>4056</v>
      </c>
      <c r="H9" s="20">
        <v>0.95</v>
      </c>
      <c r="J9" s="45">
        <v>44837</v>
      </c>
      <c r="K9" s="19" t="s">
        <v>47</v>
      </c>
      <c r="L9" s="19" t="s">
        <v>160</v>
      </c>
      <c r="M9" s="19" t="s">
        <v>161</v>
      </c>
      <c r="N9" s="90" cm="1">
        <f t="array" ref="N9:O9">_xlfn.XLOOKUP(J9&amp;K9&amp;L9&amp;M9,TblPizza81[Date]&amp;TblPizza81[Pizza]&amp;TblPizza81[Location]&amp;TblPizza81[Notes],TblPizza81[[Sales]:[Rating]],"not found")</f>
        <v>3975</v>
      </c>
      <c r="O9" s="46">
        <v>0.88</v>
      </c>
      <c r="U9" s="101"/>
      <c r="V9" s="101"/>
      <c r="W9" s="101"/>
      <c r="X9" s="101"/>
      <c r="Y9" s="101"/>
      <c r="Z9" s="101"/>
    </row>
    <row r="10" spans="1:26">
      <c r="C10" s="43">
        <v>44835</v>
      </c>
      <c r="D10" s="19" t="s">
        <v>47</v>
      </c>
      <c r="E10" s="19" t="s">
        <v>164</v>
      </c>
      <c r="F10" s="19" t="s">
        <v>161</v>
      </c>
      <c r="G10" s="76">
        <v>5376</v>
      </c>
      <c r="H10" s="20">
        <v>0.82</v>
      </c>
      <c r="U10" s="101"/>
      <c r="V10" s="101"/>
      <c r="W10" s="101"/>
      <c r="X10" s="101"/>
      <c r="Y10" s="101"/>
      <c r="Z10" s="101"/>
    </row>
    <row r="11" spans="1:26">
      <c r="C11" s="43">
        <v>44835</v>
      </c>
      <c r="D11" s="19" t="s">
        <v>39</v>
      </c>
      <c r="E11" s="19" t="s">
        <v>162</v>
      </c>
      <c r="F11" s="19" t="s">
        <v>161</v>
      </c>
      <c r="G11" s="76">
        <v>1234</v>
      </c>
      <c r="H11" s="20">
        <v>0.98</v>
      </c>
      <c r="U11" s="101"/>
      <c r="V11" s="101"/>
      <c r="W11" s="101"/>
      <c r="X11" s="101"/>
      <c r="Y11" s="101"/>
      <c r="Z11" s="101"/>
    </row>
    <row r="12" spans="1:26">
      <c r="C12" s="43">
        <v>44836</v>
      </c>
      <c r="D12" s="19" t="s">
        <v>23</v>
      </c>
      <c r="E12" s="19" t="s">
        <v>160</v>
      </c>
      <c r="F12" s="19" t="s">
        <v>161</v>
      </c>
      <c r="G12" s="76">
        <v>1192</v>
      </c>
      <c r="H12" s="20">
        <v>0.88</v>
      </c>
    </row>
    <row r="13" spans="1:26">
      <c r="C13" s="43">
        <v>44836</v>
      </c>
      <c r="D13" s="19" t="s">
        <v>47</v>
      </c>
      <c r="E13" s="19" t="s">
        <v>164</v>
      </c>
      <c r="F13" s="19" t="s">
        <v>161</v>
      </c>
      <c r="G13" s="76">
        <v>4751</v>
      </c>
      <c r="H13" s="20">
        <v>0.78</v>
      </c>
    </row>
    <row r="14" spans="1:26">
      <c r="C14" s="43">
        <v>44837</v>
      </c>
      <c r="D14" s="19" t="s">
        <v>23</v>
      </c>
      <c r="E14" s="19" t="s">
        <v>162</v>
      </c>
      <c r="F14" s="19" t="s">
        <v>161</v>
      </c>
      <c r="G14" s="76">
        <v>3417</v>
      </c>
      <c r="H14" s="20">
        <v>0.98</v>
      </c>
      <c r="V14" s="45" cm="1">
        <f t="array" ref="V14:V24">_xlfn.UNIQUE(TblPizza81[Date])</f>
        <v>44835</v>
      </c>
      <c r="W14" s="19" t="str" cm="1">
        <f t="array" ref="W14:W18">_xlfn.UNIQUE(TblPizza81[Pizza])</f>
        <v>Margherita</v>
      </c>
      <c r="X14" s="19" t="str" cm="1">
        <f t="array" ref="X14:X16">_xlfn.UNIQUE(TblPizza81[Location])</f>
        <v>Verona</v>
      </c>
      <c r="Y14" s="19" t="str" cm="1">
        <f t="array" ref="Y14:Y16">_xlfn.UNIQUE(TblPizza81[Notes])</f>
        <v>no comment</v>
      </c>
    </row>
    <row r="15" spans="1:26">
      <c r="C15" s="43">
        <v>44837</v>
      </c>
      <c r="D15" s="19" t="s">
        <v>47</v>
      </c>
      <c r="E15" s="19" t="s">
        <v>160</v>
      </c>
      <c r="F15" s="19" t="s">
        <v>161</v>
      </c>
      <c r="G15" s="76">
        <v>3975</v>
      </c>
      <c r="H15" s="20">
        <v>0.88</v>
      </c>
      <c r="V15" s="45">
        <v>44836</v>
      </c>
      <c r="W15" s="19" t="str">
        <v>Bufala</v>
      </c>
      <c r="X15" s="19" t="str">
        <v>Zurich</v>
      </c>
      <c r="Y15" s="19" t="str">
        <v>not well cooked</v>
      </c>
    </row>
    <row r="16" spans="1:26">
      <c r="C16" s="43">
        <v>44838</v>
      </c>
      <c r="D16" s="19" t="s">
        <v>23</v>
      </c>
      <c r="E16" s="19" t="s">
        <v>164</v>
      </c>
      <c r="F16" s="19" t="s">
        <v>161</v>
      </c>
      <c r="G16" s="76">
        <v>4569</v>
      </c>
      <c r="H16" s="20">
        <v>0.9</v>
      </c>
      <c r="V16" s="45">
        <v>44837</v>
      </c>
      <c r="W16" s="19" t="str">
        <v>Marinara</v>
      </c>
      <c r="X16" s="19" t="str">
        <v>London</v>
      </c>
      <c r="Y16" s="19" t="str">
        <v>too spicy</v>
      </c>
    </row>
    <row r="17" spans="3:23">
      <c r="C17" s="43">
        <v>44838</v>
      </c>
      <c r="D17" s="19" t="s">
        <v>39</v>
      </c>
      <c r="E17" s="19" t="s">
        <v>162</v>
      </c>
      <c r="F17" s="19" t="s">
        <v>161</v>
      </c>
      <c r="G17" s="76">
        <v>4321</v>
      </c>
      <c r="H17" s="20">
        <v>0.89</v>
      </c>
      <c r="V17" s="45">
        <v>44838</v>
      </c>
      <c r="W17" s="19" t="str">
        <v>SalsicciaFriarielli</v>
      </c>
    </row>
    <row r="18" spans="3:23">
      <c r="C18" s="43">
        <v>44838</v>
      </c>
      <c r="D18" s="19" t="s">
        <v>47</v>
      </c>
      <c r="E18" s="19" t="s">
        <v>160</v>
      </c>
      <c r="F18" s="19" t="s">
        <v>161</v>
      </c>
      <c r="G18" s="76">
        <v>2107</v>
      </c>
      <c r="H18" s="20">
        <v>0.76</v>
      </c>
      <c r="V18" s="45">
        <v>44839</v>
      </c>
      <c r="W18" s="19" t="str">
        <v>Capricciosa</v>
      </c>
    </row>
    <row r="19" spans="3:23">
      <c r="C19" s="43">
        <v>44839</v>
      </c>
      <c r="D19" s="19" t="s">
        <v>23</v>
      </c>
      <c r="E19" s="19" t="s">
        <v>164</v>
      </c>
      <c r="F19" s="19" t="s">
        <v>161</v>
      </c>
      <c r="G19" s="76">
        <v>4374</v>
      </c>
      <c r="H19" s="20">
        <v>0.78</v>
      </c>
      <c r="V19" s="45">
        <v>44840</v>
      </c>
    </row>
    <row r="20" spans="3:23">
      <c r="C20" s="43">
        <v>44839</v>
      </c>
      <c r="D20" s="19" t="s">
        <v>47</v>
      </c>
      <c r="E20" s="19" t="s">
        <v>162</v>
      </c>
      <c r="F20" s="19" t="s">
        <v>163</v>
      </c>
      <c r="G20" s="76">
        <v>3069</v>
      </c>
      <c r="H20" s="20">
        <v>0.45</v>
      </c>
      <c r="V20" s="45">
        <v>44841</v>
      </c>
    </row>
    <row r="21" spans="3:23">
      <c r="C21" s="43">
        <v>44840</v>
      </c>
      <c r="D21" s="19" t="s">
        <v>23</v>
      </c>
      <c r="E21" s="19" t="s">
        <v>160</v>
      </c>
      <c r="F21" s="19" t="s">
        <v>161</v>
      </c>
      <c r="G21" s="76">
        <v>2333</v>
      </c>
      <c r="H21" s="20">
        <v>0.61</v>
      </c>
      <c r="V21" s="45">
        <v>44842</v>
      </c>
    </row>
    <row r="22" spans="3:23">
      <c r="C22" s="43">
        <v>44840</v>
      </c>
      <c r="D22" s="19" t="s">
        <v>47</v>
      </c>
      <c r="E22" s="19" t="s">
        <v>164</v>
      </c>
      <c r="F22" s="19" t="s">
        <v>161</v>
      </c>
      <c r="G22" s="76">
        <v>3519</v>
      </c>
      <c r="H22" s="20">
        <v>0.65</v>
      </c>
      <c r="V22" s="45">
        <v>44843</v>
      </c>
    </row>
    <row r="23" spans="3:23">
      <c r="C23" s="43">
        <v>44841</v>
      </c>
      <c r="D23" s="19" t="s">
        <v>23</v>
      </c>
      <c r="E23" s="19" t="s">
        <v>162</v>
      </c>
      <c r="F23" s="19" t="s">
        <v>161</v>
      </c>
      <c r="G23" s="76">
        <v>5331</v>
      </c>
      <c r="H23" s="20">
        <v>0.99</v>
      </c>
      <c r="V23" s="45">
        <v>44844</v>
      </c>
    </row>
    <row r="24" spans="3:23">
      <c r="C24" s="43">
        <v>44841</v>
      </c>
      <c r="D24" s="19" t="s">
        <v>47</v>
      </c>
      <c r="E24" s="19" t="s">
        <v>160</v>
      </c>
      <c r="F24" s="19" t="s">
        <v>161</v>
      </c>
      <c r="G24" s="76">
        <v>5138</v>
      </c>
      <c r="H24" s="20">
        <v>0.78</v>
      </c>
      <c r="V24" s="45">
        <v>44845</v>
      </c>
    </row>
    <row r="25" spans="3:23">
      <c r="C25" s="43">
        <v>44841</v>
      </c>
      <c r="D25" s="19" t="s">
        <v>45</v>
      </c>
      <c r="E25" s="19" t="s">
        <v>164</v>
      </c>
      <c r="F25" s="19" t="s">
        <v>165</v>
      </c>
      <c r="G25" s="76">
        <v>2356</v>
      </c>
      <c r="H25" s="20">
        <v>0.88</v>
      </c>
      <c r="V25" s="45"/>
    </row>
    <row r="26" spans="3:23">
      <c r="C26" s="43">
        <v>44842</v>
      </c>
      <c r="D26" s="19" t="s">
        <v>23</v>
      </c>
      <c r="E26" s="19" t="s">
        <v>162</v>
      </c>
      <c r="F26" s="19" t="s">
        <v>161</v>
      </c>
      <c r="G26" s="76">
        <v>3688</v>
      </c>
      <c r="H26" s="20">
        <v>0.98</v>
      </c>
      <c r="V26" s="45"/>
    </row>
    <row r="27" spans="3:23">
      <c r="C27" s="43">
        <v>44842</v>
      </c>
      <c r="D27" s="19" t="s">
        <v>47</v>
      </c>
      <c r="E27" s="19" t="s">
        <v>160</v>
      </c>
      <c r="F27" s="19" t="s">
        <v>161</v>
      </c>
      <c r="G27" s="76">
        <v>4808</v>
      </c>
      <c r="H27" s="20">
        <v>0.66</v>
      </c>
      <c r="V27" s="45"/>
    </row>
    <row r="28" spans="3:23">
      <c r="C28" s="43">
        <v>44843</v>
      </c>
      <c r="D28" s="19" t="s">
        <v>23</v>
      </c>
      <c r="E28" s="19" t="s">
        <v>164</v>
      </c>
      <c r="F28" s="19" t="s">
        <v>161</v>
      </c>
      <c r="G28" s="76">
        <v>4631</v>
      </c>
      <c r="H28" s="20">
        <v>0.67</v>
      </c>
      <c r="V28" s="45"/>
    </row>
    <row r="29" spans="3:23">
      <c r="C29" s="43">
        <v>44843</v>
      </c>
      <c r="D29" s="19" t="s">
        <v>47</v>
      </c>
      <c r="E29" s="19" t="s">
        <v>162</v>
      </c>
      <c r="F29" s="19" t="s">
        <v>161</v>
      </c>
      <c r="G29" s="76">
        <v>3772</v>
      </c>
      <c r="H29" s="20">
        <v>0.78</v>
      </c>
      <c r="V29" s="45"/>
    </row>
    <row r="30" spans="3:23">
      <c r="C30" s="43">
        <v>44843</v>
      </c>
      <c r="D30" s="19" t="s">
        <v>43</v>
      </c>
      <c r="E30" s="19" t="s">
        <v>160</v>
      </c>
      <c r="F30" s="19" t="s">
        <v>161</v>
      </c>
      <c r="G30" s="76">
        <v>2389</v>
      </c>
      <c r="H30" s="20">
        <v>0.67</v>
      </c>
      <c r="V30" s="45"/>
    </row>
    <row r="31" spans="3:23">
      <c r="C31" s="43">
        <v>44844</v>
      </c>
      <c r="D31" s="19" t="s">
        <v>23</v>
      </c>
      <c r="E31" s="19" t="s">
        <v>164</v>
      </c>
      <c r="F31" s="19" t="s">
        <v>163</v>
      </c>
      <c r="G31" s="76">
        <v>2797</v>
      </c>
      <c r="H31" s="20">
        <v>0.59</v>
      </c>
    </row>
    <row r="32" spans="3:23">
      <c r="C32" s="43">
        <v>44844</v>
      </c>
      <c r="D32" s="19" t="s">
        <v>47</v>
      </c>
      <c r="E32" s="19" t="s">
        <v>162</v>
      </c>
      <c r="F32" s="19" t="s">
        <v>163</v>
      </c>
      <c r="G32" s="76">
        <v>3457</v>
      </c>
      <c r="H32" s="20">
        <v>0.59</v>
      </c>
    </row>
    <row r="33" spans="3:8">
      <c r="C33" s="43">
        <v>44845</v>
      </c>
      <c r="D33" s="19" t="s">
        <v>23</v>
      </c>
      <c r="E33" s="19" t="s">
        <v>160</v>
      </c>
      <c r="F33" s="19" t="s">
        <v>161</v>
      </c>
      <c r="G33" s="76">
        <v>5516</v>
      </c>
      <c r="H33" s="20">
        <v>0.62</v>
      </c>
    </row>
    <row r="34" spans="3:8">
      <c r="C34" s="43">
        <v>44845</v>
      </c>
      <c r="D34" s="19" t="s">
        <v>47</v>
      </c>
      <c r="E34" s="19" t="s">
        <v>160</v>
      </c>
      <c r="F34" s="19" t="s">
        <v>163</v>
      </c>
      <c r="G34" s="76">
        <v>1619</v>
      </c>
      <c r="H34" s="20">
        <v>0.44</v>
      </c>
    </row>
  </sheetData>
  <mergeCells count="3">
    <mergeCell ref="U8:Z11"/>
    <mergeCell ref="C2:F6"/>
    <mergeCell ref="H2:O6"/>
  </mergeCells>
  <conditionalFormatting sqref="O9">
    <cfRule type="iconSet" priority="1">
      <iconSet iconSet="3Symbols">
        <cfvo type="percent" val="0"/>
        <cfvo type="num" val="0.2"/>
        <cfvo type="num" val="0.6"/>
      </iconSet>
    </cfRule>
  </conditionalFormatting>
  <conditionalFormatting sqref="H9:H34">
    <cfRule type="iconSet" priority="2">
      <iconSet iconSet="3Symbols">
        <cfvo type="percent" val="0"/>
        <cfvo type="num" val="0.2"/>
        <cfvo type="num" val="0.6"/>
      </iconSet>
    </cfRule>
  </conditionalFormatting>
  <dataValidations count="1">
    <dataValidation type="list" allowBlank="1" showInputMessage="1" showErrorMessage="1" sqref="J9:M9" xr:uid="{0DA0EF83-9093-4C1C-AB19-F3662396B3BB}">
      <formula1>_xlfn.ANCHORARRAY(V14)</formula1>
    </dataValidation>
  </dataValidations>
  <hyperlinks>
    <hyperlink ref="Q2" location="'About and Summary'!A1" display="Home" xr:uid="{52D035EF-4EB8-4715-9CEB-C5F34B19197D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48A6F-5D44-4168-8130-C37B42A9D8DE}">
  <dimension ref="A1:S49"/>
  <sheetViews>
    <sheetView showGridLines="0" topLeftCell="A4" workbookViewId="0">
      <selection activeCell="L28" sqref="L28"/>
    </sheetView>
  </sheetViews>
  <sheetFormatPr defaultColWidth="8.85546875" defaultRowHeight="12.75"/>
  <cols>
    <col min="1" max="2" width="8.85546875" style="8"/>
    <col min="3" max="3" width="9.5703125" style="8" bestFit="1" customWidth="1"/>
    <col min="4" max="5" width="9.7109375" style="8" bestFit="1" customWidth="1"/>
    <col min="6" max="9" width="8.85546875" style="8"/>
    <col min="10" max="10" width="9.140625" style="8" bestFit="1" customWidth="1"/>
    <col min="11" max="16" width="8.85546875" style="8"/>
    <col min="17" max="30" width="0" style="8" hidden="1" customWidth="1"/>
    <col min="31" max="16384" width="8.85546875" style="8"/>
  </cols>
  <sheetData>
    <row r="1" spans="1:19" s="29" customFormat="1" ht="13.5" thickBot="1">
      <c r="A1" s="28" t="s">
        <v>175</v>
      </c>
    </row>
    <row r="2" spans="1:19" ht="13.5" thickTop="1">
      <c r="B2" s="99" t="s">
        <v>8</v>
      </c>
      <c r="C2" s="99"/>
      <c r="D2" s="99"/>
      <c r="E2" s="99"/>
      <c r="G2" s="100" t="s">
        <v>9</v>
      </c>
      <c r="H2" s="100"/>
      <c r="I2" s="100"/>
      <c r="J2" s="100"/>
      <c r="K2" s="100"/>
      <c r="L2" s="100"/>
      <c r="M2" s="100"/>
      <c r="N2" s="100"/>
      <c r="P2" s="57" t="s">
        <v>88</v>
      </c>
    </row>
    <row r="3" spans="1:19">
      <c r="B3" s="99"/>
      <c r="C3" s="99"/>
      <c r="D3" s="99"/>
      <c r="E3" s="99"/>
      <c r="G3" s="100"/>
      <c r="H3" s="100"/>
      <c r="I3" s="100"/>
      <c r="J3" s="100"/>
      <c r="K3" s="100"/>
      <c r="L3" s="100"/>
      <c r="M3" s="100"/>
      <c r="N3" s="100"/>
    </row>
    <row r="4" spans="1:19">
      <c r="B4" s="99"/>
      <c r="C4" s="99"/>
      <c r="D4" s="99"/>
      <c r="E4" s="99"/>
      <c r="G4" s="100"/>
      <c r="H4" s="100"/>
      <c r="I4" s="100"/>
      <c r="J4" s="100"/>
      <c r="K4" s="100"/>
      <c r="L4" s="100"/>
      <c r="M4" s="100"/>
      <c r="N4" s="100"/>
    </row>
    <row r="5" spans="1:19">
      <c r="B5" s="99"/>
      <c r="C5" s="99"/>
      <c r="D5" s="99"/>
      <c r="E5" s="99"/>
      <c r="G5" s="100"/>
      <c r="H5" s="100"/>
      <c r="I5" s="100"/>
      <c r="J5" s="100"/>
      <c r="K5" s="100"/>
      <c r="L5" s="100"/>
      <c r="M5" s="100"/>
      <c r="N5" s="100"/>
    </row>
    <row r="6" spans="1:19">
      <c r="B6" s="99"/>
      <c r="C6" s="99"/>
      <c r="D6" s="99"/>
      <c r="E6" s="99"/>
      <c r="G6" s="100"/>
      <c r="H6" s="100"/>
      <c r="I6" s="100"/>
      <c r="J6" s="100"/>
      <c r="K6" s="100"/>
      <c r="L6" s="100"/>
      <c r="M6" s="100"/>
      <c r="N6" s="100"/>
    </row>
    <row r="7" spans="1:19">
      <c r="N7" s="58"/>
    </row>
    <row r="10" spans="1:19">
      <c r="Q10" s="8" t="s">
        <v>67</v>
      </c>
      <c r="R10" s="8" t="s">
        <v>66</v>
      </c>
      <c r="S10" s="8" t="s">
        <v>65</v>
      </c>
    </row>
    <row r="11" spans="1:19">
      <c r="Q11" s="54">
        <v>2.5000000000000001E-3</v>
      </c>
      <c r="R11" s="91">
        <f>NPV(Q11,$D$15:$D$19)+$D$14</f>
        <v>91.425064386067788</v>
      </c>
      <c r="S11" s="92">
        <f>XNPV(Q11,$D$26:$D$31,$C$26:$C$31)</f>
        <v>92.503255973242432</v>
      </c>
    </row>
    <row r="12" spans="1:19">
      <c r="Q12" s="54">
        <v>5.0000000000000001E-3</v>
      </c>
      <c r="R12" s="91">
        <f t="shared" ref="R12:R30" si="0">NPV(Q12,$D$15:$D$19)+$D$14</f>
        <v>82.949273854725561</v>
      </c>
      <c r="S12" s="92">
        <f t="shared" ref="S12:S30" si="1">XNPV(Q12,$D$26:$D$31,$C$26:$C$31)</f>
        <v>85.084918844446065</v>
      </c>
    </row>
    <row r="13" spans="1:19">
      <c r="C13" s="9" t="s">
        <v>63</v>
      </c>
      <c r="D13" s="9" t="s">
        <v>64</v>
      </c>
      <c r="Q13" s="54">
        <v>7.4999999999999997E-3</v>
      </c>
      <c r="R13" s="91">
        <f t="shared" si="0"/>
        <v>74.571172354192413</v>
      </c>
      <c r="S13" s="92">
        <f t="shared" si="1"/>
        <v>77.743939797059426</v>
      </c>
    </row>
    <row r="14" spans="1:19">
      <c r="C14" s="11">
        <v>0</v>
      </c>
      <c r="D14" s="55">
        <v>-1000</v>
      </c>
      <c r="E14" s="91">
        <f t="shared" ref="E14:E19" si="2">D14/(1+$G$14)^C14</f>
        <v>-1000</v>
      </c>
      <c r="G14" s="54">
        <v>0.05</v>
      </c>
      <c r="I14" s="8" t="str">
        <f ca="1">_xlfn.FORMULATEXT(E14)</f>
        <v>=D14/(1+$G$14)^C14</v>
      </c>
      <c r="Q14" s="54">
        <v>0.01</v>
      </c>
      <c r="R14" s="91">
        <f t="shared" si="0"/>
        <v>66.289329386879899</v>
      </c>
      <c r="S14" s="92">
        <f t="shared" si="1"/>
        <v>70.47928691089885</v>
      </c>
    </row>
    <row r="15" spans="1:19">
      <c r="C15" s="11">
        <v>1</v>
      </c>
      <c r="D15" s="55">
        <v>150</v>
      </c>
      <c r="E15" s="91">
        <f t="shared" si="2"/>
        <v>142.85714285714286</v>
      </c>
      <c r="I15" s="8" t="str">
        <f t="shared" ref="I15:I19" ca="1" si="3">_xlfn.FORMULATEXT(E15)</f>
        <v>=D15/(1+$G$14)^C15</v>
      </c>
      <c r="Q15" s="54">
        <v>1.2500000000000001E-2</v>
      </c>
      <c r="R15" s="91">
        <f t="shared" si="0"/>
        <v>58.102339491337261</v>
      </c>
      <c r="S15" s="92">
        <f t="shared" si="1"/>
        <v>63.289944845312021</v>
      </c>
    </row>
    <row r="16" spans="1:19">
      <c r="C16" s="11">
        <v>2</v>
      </c>
      <c r="D16" s="55">
        <v>200</v>
      </c>
      <c r="E16" s="91">
        <f t="shared" si="2"/>
        <v>181.40589569160997</v>
      </c>
      <c r="G16" s="92">
        <f>NPV(G14,D15:D19)+D14</f>
        <v>-54.204829900142158</v>
      </c>
      <c r="I16" s="8" t="str">
        <f t="shared" ca="1" si="3"/>
        <v>=D16/(1+$G$14)^C16</v>
      </c>
      <c r="L16" s="8" t="str">
        <f ca="1">_xlfn.FORMULATEXT(G16)</f>
        <v>=NPV(G14,D15:D19)+D14</v>
      </c>
      <c r="Q16" s="54">
        <v>1.4999999999999999E-2</v>
      </c>
      <c r="R16" s="91">
        <f t="shared" si="0"/>
        <v>50.008821736071923</v>
      </c>
      <c r="S16" s="92">
        <f t="shared" si="1"/>
        <v>56.174914529108548</v>
      </c>
    </row>
    <row r="17" spans="2:19">
      <c r="C17" s="11">
        <v>3</v>
      </c>
      <c r="D17" s="55">
        <v>300</v>
      </c>
      <c r="E17" s="91">
        <f t="shared" si="2"/>
        <v>259.1512795594428</v>
      </c>
      <c r="I17" s="8" t="str">
        <f t="shared" ca="1" si="3"/>
        <v>=D17/(1+$G$14)^C17</v>
      </c>
      <c r="Q17" s="54">
        <v>1.7500000000000002E-2</v>
      </c>
      <c r="R17" s="91">
        <f t="shared" si="0"/>
        <v>42.007419224927162</v>
      </c>
      <c r="S17" s="92">
        <f t="shared" si="1"/>
        <v>49.133212857082555</v>
      </c>
    </row>
    <row r="18" spans="2:19">
      <c r="C18" s="11">
        <v>4</v>
      </c>
      <c r="D18" s="55">
        <v>250</v>
      </c>
      <c r="E18" s="91">
        <f t="shared" si="2"/>
        <v>205.67561869797049</v>
      </c>
      <c r="I18" s="8" t="str">
        <f t="shared" ca="1" si="3"/>
        <v>=D18/(1+$G$14)^C18</v>
      </c>
      <c r="Q18" s="54">
        <v>0.02</v>
      </c>
      <c r="R18" s="91">
        <f t="shared" si="0"/>
        <v>34.096798613733881</v>
      </c>
      <c r="S18" s="92">
        <f t="shared" si="1"/>
        <v>42.163872392981801</v>
      </c>
    </row>
    <row r="19" spans="2:19">
      <c r="C19" s="11">
        <v>5</v>
      </c>
      <c r="D19" s="55">
        <v>200</v>
      </c>
      <c r="E19" s="91">
        <f t="shared" si="2"/>
        <v>156.70523329369178</v>
      </c>
      <c r="F19" s="54"/>
      <c r="I19" s="8" t="str">
        <f t="shared" ca="1" si="3"/>
        <v>=D19/(1+$G$14)^C19</v>
      </c>
      <c r="Q19" s="54">
        <v>2.2499999999999999E-2</v>
      </c>
      <c r="R19" s="91">
        <f t="shared" si="0"/>
        <v>26.27564963793975</v>
      </c>
      <c r="S19" s="92">
        <f t="shared" si="1"/>
        <v>35.26594107875664</v>
      </c>
    </row>
    <row r="20" spans="2:19">
      <c r="D20" s="55">
        <f>SUM(D14:D19)</f>
        <v>100</v>
      </c>
      <c r="E20" s="55">
        <f>SUM(E14:E19)</f>
        <v>-54.204829900142045</v>
      </c>
      <c r="F20" s="55">
        <f>E20-G16</f>
        <v>1.1368683772161603E-13</v>
      </c>
      <c r="G20" s="54"/>
      <c r="Q20" s="54">
        <v>2.5000000000000001E-2</v>
      </c>
      <c r="R20" s="91">
        <f t="shared" si="0"/>
        <v>18.542684650949468</v>
      </c>
      <c r="S20" s="92">
        <f t="shared" si="1"/>
        <v>28.438481949954451</v>
      </c>
    </row>
    <row r="21" spans="2:19">
      <c r="Q21" s="54">
        <v>2.75E-2</v>
      </c>
      <c r="R21" s="91">
        <f t="shared" si="0"/>
        <v>10.896638172902044</v>
      </c>
      <c r="S21" s="92">
        <f t="shared" si="1"/>
        <v>21.680572857105062</v>
      </c>
    </row>
    <row r="22" spans="2:19">
      <c r="Q22" s="54">
        <v>0.03</v>
      </c>
      <c r="R22" s="91">
        <f t="shared" si="0"/>
        <v>3.3362664496187335</v>
      </c>
      <c r="S22" s="92">
        <f t="shared" si="1"/>
        <v>14.991306192960764</v>
      </c>
    </row>
    <row r="23" spans="2:19">
      <c r="Q23" s="54">
        <v>3.2500000000000001E-2</v>
      </c>
      <c r="R23" s="91">
        <f t="shared" si="0"/>
        <v>-4.1396529785289431</v>
      </c>
      <c r="S23" s="92">
        <f t="shared" si="1"/>
        <v>8.3697886254454943</v>
      </c>
    </row>
    <row r="24" spans="2:19">
      <c r="Q24" s="54">
        <v>3.5000000000000003E-2</v>
      </c>
      <c r="R24" s="91">
        <f t="shared" si="0"/>
        <v>-11.532321698080636</v>
      </c>
      <c r="S24" s="92">
        <f t="shared" si="1"/>
        <v>1.8151408361926826</v>
      </c>
    </row>
    <row r="25" spans="2:19">
      <c r="C25" s="9" t="s">
        <v>63</v>
      </c>
      <c r="D25" s="9" t="s">
        <v>64</v>
      </c>
      <c r="Q25" s="54">
        <v>3.7499999999999999E-2</v>
      </c>
      <c r="R25" s="91">
        <f t="shared" si="0"/>
        <v>-18.842920834518736</v>
      </c>
      <c r="S25" s="92">
        <f t="shared" si="1"/>
        <v>-4.67350273547396</v>
      </c>
    </row>
    <row r="26" spans="2:19">
      <c r="C26" s="56">
        <v>44530</v>
      </c>
      <c r="D26" s="55">
        <v>-1000</v>
      </c>
      <c r="E26" s="91">
        <f>D26/(1+$G$26)^((C26-$C$26)/365)</f>
        <v>-1000</v>
      </c>
      <c r="G26" s="54">
        <v>0.05</v>
      </c>
      <c r="I26" s="8" t="str">
        <f t="shared" ref="I26:I31" ca="1" si="4">_xlfn.FORMULATEXT(E26)</f>
        <v>=D26/(1+$G$26)^((C26-$C$26)/365)</v>
      </c>
      <c r="Q26" s="54">
        <v>0.04</v>
      </c>
      <c r="R26" s="91">
        <f t="shared" si="0"/>
        <v>-26.072611455104379</v>
      </c>
      <c r="S26" s="92">
        <f t="shared" si="1"/>
        <v>-11.096994143228244</v>
      </c>
    </row>
    <row r="27" spans="2:19">
      <c r="B27" s="11">
        <f>C27-$C$26</f>
        <v>212</v>
      </c>
      <c r="C27" s="56">
        <v>44742</v>
      </c>
      <c r="D27" s="55">
        <v>150</v>
      </c>
      <c r="E27" s="91">
        <f>D27/(1+$G$26)^((C27-$C$26)/365)</f>
        <v>145.80890541499915</v>
      </c>
      <c r="I27" s="8" t="str">
        <f t="shared" ca="1" si="4"/>
        <v>=D27/(1+$G$26)^((C27-$C$26)/365)</v>
      </c>
      <c r="Q27" s="54">
        <v>4.2500000000000003E-2</v>
      </c>
      <c r="R27" s="91">
        <f t="shared" si="0"/>
        <v>-33.222534962751183</v>
      </c>
      <c r="S27" s="92">
        <f t="shared" si="1"/>
        <v>-17.456172179239871</v>
      </c>
    </row>
    <row r="28" spans="2:19">
      <c r="B28" s="11">
        <f t="shared" ref="B28:B31" si="5">C28-$C$26</f>
        <v>669</v>
      </c>
      <c r="C28" s="56">
        <v>45199</v>
      </c>
      <c r="D28" s="55">
        <v>200</v>
      </c>
      <c r="E28" s="91">
        <f t="shared" ref="E28:E31" si="6">D28/(1+$G$26)^((C28-$C$26)/365)</f>
        <v>182.8911214181089</v>
      </c>
      <c r="G28" s="92">
        <f>XNPV(G26,D26:D31,C26:C31)</f>
        <v>-36.156020070005297</v>
      </c>
      <c r="I28" s="8" t="str">
        <f t="shared" ca="1" si="4"/>
        <v>=D28/(1+$G$26)^((C28-$C$26)/365)</v>
      </c>
      <c r="L28" s="8" t="str">
        <f ca="1">_xlfn.FORMULATEXT(G28)</f>
        <v>=XNPV(G26,D26:D31,C26:C31)</v>
      </c>
      <c r="Q28" s="54">
        <v>4.4999999999999998E-2</v>
      </c>
      <c r="R28" s="91">
        <f t="shared" si="0"/>
        <v>-40.293813481151346</v>
      </c>
      <c r="S28" s="92">
        <f t="shared" si="1"/>
        <v>-23.751862614585576</v>
      </c>
    </row>
    <row r="29" spans="2:19">
      <c r="B29" s="11">
        <f t="shared" si="5"/>
        <v>1096</v>
      </c>
      <c r="C29" s="56">
        <v>45626</v>
      </c>
      <c r="D29" s="55">
        <v>300</v>
      </c>
      <c r="E29" s="91">
        <f t="shared" si="6"/>
        <v>259.11664068701134</v>
      </c>
      <c r="I29" s="8" t="str">
        <f t="shared" ca="1" si="4"/>
        <v>=D29/(1+$G$26)^((C29-$C$26)/365)</v>
      </c>
      <c r="Q29" s="54">
        <v>4.7500000000000001E-2</v>
      </c>
      <c r="R29" s="91">
        <f t="shared" si="0"/>
        <v>-47.287550231373643</v>
      </c>
      <c r="S29" s="92">
        <f t="shared" si="1"/>
        <v>-29.984878434705024</v>
      </c>
    </row>
    <row r="30" spans="2:19">
      <c r="B30" s="11">
        <f t="shared" si="5"/>
        <v>1158</v>
      </c>
      <c r="C30" s="56">
        <v>45688</v>
      </c>
      <c r="D30" s="55">
        <v>250</v>
      </c>
      <c r="E30" s="91">
        <f t="shared" si="6"/>
        <v>214.14837359801098</v>
      </c>
      <c r="I30" s="8" t="str">
        <f t="shared" ca="1" si="4"/>
        <v>=D30/(1+$G$26)^((C30-$C$26)/365)</v>
      </c>
      <c r="Q30" s="54">
        <v>0.05</v>
      </c>
      <c r="R30" s="91">
        <f t="shared" si="0"/>
        <v>-54.204829900142158</v>
      </c>
      <c r="S30" s="92">
        <f t="shared" si="1"/>
        <v>-36.156020070005297</v>
      </c>
    </row>
    <row r="31" spans="2:19">
      <c r="B31" s="11">
        <f t="shared" si="5"/>
        <v>1582</v>
      </c>
      <c r="C31" s="56">
        <v>46112</v>
      </c>
      <c r="D31" s="55">
        <v>200</v>
      </c>
      <c r="E31" s="91">
        <f t="shared" si="6"/>
        <v>161.87893881186434</v>
      </c>
      <c r="F31" s="54"/>
      <c r="I31" s="8" t="str">
        <f t="shared" ca="1" si="4"/>
        <v>=D31/(1+$G$26)^((C31-$C$26)/365)</v>
      </c>
      <c r="Q31" s="54"/>
      <c r="R31" s="55"/>
      <c r="S31" s="55"/>
    </row>
    <row r="32" spans="2:19">
      <c r="D32" s="55">
        <f>SUM(D26:D31)</f>
        <v>100</v>
      </c>
      <c r="E32" s="55">
        <f>SUM(E26:E31)</f>
        <v>-36.156020070005297</v>
      </c>
      <c r="F32" s="55">
        <f>E32-G28</f>
        <v>0</v>
      </c>
      <c r="Q32" s="54"/>
      <c r="R32" s="55"/>
      <c r="S32" s="55"/>
    </row>
    <row r="33" spans="13:19">
      <c r="Q33" s="54"/>
      <c r="R33" s="55"/>
      <c r="S33" s="55"/>
    </row>
    <row r="34" spans="13:19">
      <c r="Q34" s="54"/>
      <c r="R34" s="55"/>
      <c r="S34" s="55"/>
    </row>
    <row r="35" spans="13:19">
      <c r="Q35" s="54"/>
      <c r="R35" s="55"/>
      <c r="S35" s="55"/>
    </row>
    <row r="36" spans="13:19">
      <c r="Q36" s="54"/>
      <c r="R36" s="55"/>
      <c r="S36" s="55"/>
    </row>
    <row r="37" spans="13:19">
      <c r="Q37" s="54"/>
      <c r="R37" s="55"/>
      <c r="S37" s="55"/>
    </row>
    <row r="38" spans="13:19">
      <c r="Q38" s="54"/>
      <c r="R38" s="55"/>
      <c r="S38" s="55"/>
    </row>
    <row r="39" spans="13:19">
      <c r="Q39" s="54"/>
      <c r="R39" s="55"/>
      <c r="S39" s="55"/>
    </row>
    <row r="40" spans="13:19">
      <c r="Q40" s="54"/>
      <c r="R40" s="55"/>
      <c r="S40" s="55"/>
    </row>
    <row r="41" spans="13:19">
      <c r="Q41" s="54"/>
      <c r="R41" s="55"/>
      <c r="S41" s="55"/>
    </row>
    <row r="42" spans="13:19">
      <c r="Q42" s="54"/>
      <c r="R42" s="55"/>
      <c r="S42" s="55"/>
    </row>
    <row r="43" spans="13:19">
      <c r="Q43" s="54"/>
      <c r="R43" s="55"/>
      <c r="S43" s="55"/>
    </row>
    <row r="44" spans="13:19">
      <c r="Q44" s="54"/>
      <c r="R44" s="55"/>
      <c r="S44" s="55"/>
    </row>
    <row r="45" spans="13:19">
      <c r="M45" s="54"/>
      <c r="N45" s="55"/>
      <c r="Q45" s="54"/>
      <c r="R45" s="55"/>
      <c r="S45" s="55"/>
    </row>
    <row r="46" spans="13:19">
      <c r="Q46" s="54"/>
      <c r="R46" s="55"/>
      <c r="S46" s="55"/>
    </row>
    <row r="47" spans="13:19">
      <c r="O47" s="55"/>
      <c r="Q47" s="54"/>
      <c r="R47" s="55"/>
      <c r="S47" s="55"/>
    </row>
    <row r="48" spans="13:19">
      <c r="Q48" s="54"/>
      <c r="R48" s="55"/>
      <c r="S48" s="55"/>
    </row>
    <row r="49" spans="17:19">
      <c r="Q49" s="54"/>
      <c r="R49" s="55"/>
      <c r="S49" s="55"/>
    </row>
  </sheetData>
  <mergeCells count="2">
    <mergeCell ref="B2:E6"/>
    <mergeCell ref="G2:N6"/>
  </mergeCells>
  <dataValidations count="1">
    <dataValidation type="list" allowBlank="1" showInputMessage="1" showErrorMessage="1" sqref="G14 G26" xr:uid="{F3E49419-76E0-4571-AC22-4F0205FA381A}">
      <formula1>$Q$11:$Q$30</formula1>
    </dataValidation>
  </dataValidations>
  <hyperlinks>
    <hyperlink ref="P2" location="'About and Summary'!A1" display="Home" xr:uid="{92FA2D45-6C1B-493D-A281-7CE632409DEA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F7DAE-0429-4628-8B1B-305467D2EB11}">
  <dimension ref="A1:P50"/>
  <sheetViews>
    <sheetView showGridLines="0" workbookViewId="0"/>
  </sheetViews>
  <sheetFormatPr defaultColWidth="8.85546875" defaultRowHeight="12.75"/>
  <cols>
    <col min="1" max="2" width="8.85546875" style="8"/>
    <col min="3" max="3" width="9.5703125" style="8" bestFit="1" customWidth="1"/>
    <col min="4" max="5" width="9.7109375" style="8" bestFit="1" customWidth="1"/>
    <col min="6" max="9" width="8.85546875" style="8"/>
    <col min="10" max="10" width="9.140625" style="8" bestFit="1" customWidth="1"/>
    <col min="11" max="16384" width="8.85546875" style="8"/>
  </cols>
  <sheetData>
    <row r="1" spans="1:16" s="29" customFormat="1" ht="13.5" thickBot="1">
      <c r="A1" s="28" t="s">
        <v>176</v>
      </c>
    </row>
    <row r="2" spans="1:16" ht="13.5" thickTop="1">
      <c r="B2" s="99" t="s">
        <v>8</v>
      </c>
      <c r="C2" s="99"/>
      <c r="D2" s="99"/>
      <c r="E2" s="99"/>
      <c r="G2" s="100" t="s">
        <v>9</v>
      </c>
      <c r="H2" s="100"/>
      <c r="I2" s="100"/>
      <c r="J2" s="100"/>
      <c r="K2" s="100"/>
      <c r="L2" s="100"/>
      <c r="M2" s="100"/>
      <c r="N2" s="100"/>
      <c r="P2" s="57" t="s">
        <v>88</v>
      </c>
    </row>
    <row r="3" spans="1:16">
      <c r="B3" s="99"/>
      <c r="C3" s="99"/>
      <c r="D3" s="99"/>
      <c r="E3" s="99"/>
      <c r="G3" s="100"/>
      <c r="H3" s="100"/>
      <c r="I3" s="100"/>
      <c r="J3" s="100"/>
      <c r="K3" s="100"/>
      <c r="L3" s="100"/>
      <c r="M3" s="100"/>
      <c r="N3" s="100"/>
    </row>
    <row r="4" spans="1:16">
      <c r="B4" s="99"/>
      <c r="C4" s="99"/>
      <c r="D4" s="99"/>
      <c r="E4" s="99"/>
      <c r="G4" s="100"/>
      <c r="H4" s="100"/>
      <c r="I4" s="100"/>
      <c r="J4" s="100"/>
      <c r="K4" s="100"/>
      <c r="L4" s="100"/>
      <c r="M4" s="100"/>
      <c r="N4" s="100"/>
    </row>
    <row r="5" spans="1:16">
      <c r="B5" s="99"/>
      <c r="C5" s="99"/>
      <c r="D5" s="99"/>
      <c r="E5" s="99"/>
      <c r="G5" s="100"/>
      <c r="H5" s="100"/>
      <c r="I5" s="100"/>
      <c r="J5" s="100"/>
      <c r="K5" s="100"/>
      <c r="L5" s="100"/>
      <c r="M5" s="100"/>
      <c r="N5" s="100"/>
    </row>
    <row r="6" spans="1:16">
      <c r="B6" s="99"/>
      <c r="C6" s="99"/>
      <c r="D6" s="99"/>
      <c r="E6" s="99"/>
      <c r="G6" s="100"/>
      <c r="H6" s="100"/>
      <c r="I6" s="100"/>
      <c r="J6" s="100"/>
      <c r="K6" s="100"/>
      <c r="L6" s="100"/>
      <c r="M6" s="100"/>
      <c r="N6" s="100"/>
    </row>
    <row r="7" spans="1:16">
      <c r="N7" s="58"/>
    </row>
    <row r="13" spans="1:16">
      <c r="C13" s="9" t="s">
        <v>63</v>
      </c>
      <c r="D13" s="9" t="s">
        <v>64</v>
      </c>
    </row>
    <row r="14" spans="1:16">
      <c r="C14" s="11">
        <v>0</v>
      </c>
      <c r="D14" s="55">
        <v>-1000</v>
      </c>
      <c r="E14" s="91">
        <f t="shared" ref="E14:E19" si="0">D14/(1+$G$14)^C14</f>
        <v>-1000</v>
      </c>
      <c r="G14" s="54">
        <v>0.05</v>
      </c>
      <c r="I14" s="8" t="str">
        <f ca="1">_xlfn.FORMULATEXT(E14)</f>
        <v>=D14/(1+$G$14)^C14</v>
      </c>
    </row>
    <row r="15" spans="1:16">
      <c r="C15" s="11">
        <v>1</v>
      </c>
      <c r="D15" s="55">
        <v>150</v>
      </c>
      <c r="E15" s="91">
        <f t="shared" si="0"/>
        <v>142.85714285714286</v>
      </c>
      <c r="I15" s="8" t="str">
        <f t="shared" ref="I15:I19" ca="1" si="1">_xlfn.FORMULATEXT(E15)</f>
        <v>=D15/(1+$G$14)^C15</v>
      </c>
    </row>
    <row r="16" spans="1:16">
      <c r="C16" s="11">
        <v>2</v>
      </c>
      <c r="D16" s="55">
        <v>200</v>
      </c>
      <c r="E16" s="91">
        <f t="shared" si="0"/>
        <v>181.40589569160997</v>
      </c>
      <c r="G16" s="92">
        <f>NPV(G14,D15:D19)+D14</f>
        <v>-54.204829900142158</v>
      </c>
      <c r="I16" s="8" t="str">
        <f t="shared" ca="1" si="1"/>
        <v>=D16/(1+$G$14)^C16</v>
      </c>
    </row>
    <row r="17" spans="2:13">
      <c r="C17" s="11">
        <v>3</v>
      </c>
      <c r="D17" s="55">
        <v>300</v>
      </c>
      <c r="E17" s="91">
        <f t="shared" si="0"/>
        <v>259.1512795594428</v>
      </c>
      <c r="I17" s="8" t="str">
        <f t="shared" ca="1" si="1"/>
        <v>=D17/(1+$G$14)^C17</v>
      </c>
    </row>
    <row r="18" spans="2:13">
      <c r="C18" s="11">
        <v>4</v>
      </c>
      <c r="D18" s="55">
        <v>250</v>
      </c>
      <c r="E18" s="91">
        <f t="shared" si="0"/>
        <v>205.67561869797049</v>
      </c>
      <c r="I18" s="8" t="str">
        <f t="shared" ca="1" si="1"/>
        <v>=D18/(1+$G$14)^C18</v>
      </c>
    </row>
    <row r="19" spans="2:13">
      <c r="C19" s="11">
        <v>5</v>
      </c>
      <c r="D19" s="55">
        <v>200</v>
      </c>
      <c r="E19" s="91">
        <f t="shared" si="0"/>
        <v>156.70523329369178</v>
      </c>
      <c r="F19" s="54"/>
      <c r="I19" s="8" t="str">
        <f t="shared" ca="1" si="1"/>
        <v>=D19/(1+$G$14)^C19</v>
      </c>
    </row>
    <row r="20" spans="2:13">
      <c r="D20" s="55">
        <f>SUM(D14:D19)</f>
        <v>100</v>
      </c>
      <c r="E20" s="55">
        <f>SUM(E14:E19)</f>
        <v>-54.204829900142045</v>
      </c>
      <c r="F20" s="55">
        <f>E20-G16</f>
        <v>1.1368683772161603E-13</v>
      </c>
      <c r="G20" s="94">
        <f>IRR(D14:D19)</f>
        <v>3.111220772273704E-2</v>
      </c>
      <c r="I20" s="8" t="str">
        <f ca="1">_xlfn.FORMULATEXT(G20)</f>
        <v>=IRR(D14:D19)</v>
      </c>
    </row>
    <row r="25" spans="2:13">
      <c r="C25" s="9" t="s">
        <v>63</v>
      </c>
      <c r="D25" s="9" t="s">
        <v>64</v>
      </c>
    </row>
    <row r="26" spans="2:13">
      <c r="C26" s="56">
        <v>44530</v>
      </c>
      <c r="D26" s="55">
        <v>-1000</v>
      </c>
      <c r="E26" s="91">
        <f>D26/(1+$G$26)^((C26-$C$26)/365)</f>
        <v>-1000</v>
      </c>
      <c r="G26" s="54">
        <v>0.05</v>
      </c>
      <c r="I26" s="8" t="str">
        <f t="shared" ref="I26:I31" ca="1" si="2">_xlfn.FORMULATEXT(E26)</f>
        <v>=D26/(1+$G$26)^((C26-$C$26)/365)</v>
      </c>
    </row>
    <row r="27" spans="2:13">
      <c r="B27" s="11">
        <f>C27-$C$26</f>
        <v>212</v>
      </c>
      <c r="C27" s="56">
        <v>44742</v>
      </c>
      <c r="D27" s="55">
        <v>150</v>
      </c>
      <c r="E27" s="91">
        <f>D27/(1+$G$26)^((C27-$C$26)/365)</f>
        <v>145.80890541499915</v>
      </c>
      <c r="I27" s="8" t="str">
        <f t="shared" ca="1" si="2"/>
        <v>=D27/(1+$G$26)^((C27-$C$26)/365)</v>
      </c>
    </row>
    <row r="28" spans="2:13">
      <c r="B28" s="11">
        <f t="shared" ref="B28:B31" si="3">C28-$C$26</f>
        <v>669</v>
      </c>
      <c r="C28" s="56">
        <v>45199</v>
      </c>
      <c r="D28" s="55">
        <v>200</v>
      </c>
      <c r="E28" s="91">
        <f t="shared" ref="E28:E31" si="4">D28/(1+$G$26)^((C28-$C$26)/365)</f>
        <v>182.8911214181089</v>
      </c>
      <c r="G28" s="92">
        <f>XNPV(G26,D26:D31,C26:C31)</f>
        <v>-36.156020070005297</v>
      </c>
      <c r="I28" s="8" t="str">
        <f t="shared" ca="1" si="2"/>
        <v>=D28/(1+$G$26)^((C28-$C$26)/365)</v>
      </c>
    </row>
    <row r="29" spans="2:13">
      <c r="B29" s="11">
        <f t="shared" si="3"/>
        <v>1096</v>
      </c>
      <c r="C29" s="56">
        <v>45626</v>
      </c>
      <c r="D29" s="55">
        <v>300</v>
      </c>
      <c r="E29" s="91">
        <f t="shared" si="4"/>
        <v>259.11664068701134</v>
      </c>
      <c r="I29" s="8" t="str">
        <f t="shared" ca="1" si="2"/>
        <v>=D29/(1+$G$26)^((C29-$C$26)/365)</v>
      </c>
    </row>
    <row r="30" spans="2:13">
      <c r="B30" s="11">
        <f t="shared" si="3"/>
        <v>1158</v>
      </c>
      <c r="C30" s="56">
        <v>45688</v>
      </c>
      <c r="D30" s="55">
        <v>250</v>
      </c>
      <c r="E30" s="91">
        <f t="shared" si="4"/>
        <v>214.14837359801098</v>
      </c>
      <c r="I30" s="8" t="str">
        <f t="shared" ca="1" si="2"/>
        <v>=D30/(1+$G$26)^((C30-$C$26)/365)</v>
      </c>
    </row>
    <row r="31" spans="2:13">
      <c r="B31" s="11">
        <f t="shared" si="3"/>
        <v>1582</v>
      </c>
      <c r="C31" s="56">
        <v>46112</v>
      </c>
      <c r="D31" s="55">
        <v>200</v>
      </c>
      <c r="E31" s="91">
        <f t="shared" si="4"/>
        <v>161.87893881186434</v>
      </c>
      <c r="F31" s="54"/>
      <c r="I31" s="8" t="str">
        <f t="shared" ca="1" si="2"/>
        <v>=D31/(1+$G$26)^((C31-$C$26)/365)</v>
      </c>
      <c r="M31" s="54"/>
    </row>
    <row r="32" spans="2:13">
      <c r="D32" s="55">
        <f>SUM(D26:D31)</f>
        <v>100</v>
      </c>
      <c r="E32" s="55">
        <f>SUM(E26:E31)</f>
        <v>-36.156020070005297</v>
      </c>
      <c r="F32" s="55">
        <f>E32-G28</f>
        <v>0</v>
      </c>
      <c r="G32" s="93">
        <f>XIRR(D26:D31,C26:C31)</f>
        <v>3.5696813464164742E-2</v>
      </c>
      <c r="I32" s="8" t="str">
        <f ca="1">_xlfn.FORMULATEXT(G32)</f>
        <v>=XIRR(D26:D31,C26:C31)</v>
      </c>
      <c r="M32" s="54"/>
    </row>
    <row r="33" spans="13:15">
      <c r="M33" s="54"/>
    </row>
    <row r="34" spans="13:15">
      <c r="M34" s="54"/>
    </row>
    <row r="35" spans="13:15">
      <c r="M35" s="54"/>
    </row>
    <row r="36" spans="13:15">
      <c r="M36" s="54"/>
      <c r="N36" s="55"/>
      <c r="O36" s="55"/>
    </row>
    <row r="37" spans="13:15">
      <c r="M37" s="54"/>
      <c r="N37" s="55"/>
      <c r="O37" s="55"/>
    </row>
    <row r="38" spans="13:15">
      <c r="M38" s="54"/>
      <c r="N38" s="55"/>
      <c r="O38" s="55"/>
    </row>
    <row r="39" spans="13:15">
      <c r="M39" s="54"/>
      <c r="N39" s="55"/>
      <c r="O39" s="55"/>
    </row>
    <row r="40" spans="13:15">
      <c r="M40" s="54"/>
      <c r="N40" s="55"/>
      <c r="O40" s="55"/>
    </row>
    <row r="41" spans="13:15">
      <c r="M41" s="54"/>
      <c r="N41" s="55"/>
      <c r="O41" s="55"/>
    </row>
    <row r="42" spans="13:15">
      <c r="M42" s="54"/>
      <c r="N42" s="55"/>
      <c r="O42" s="55"/>
    </row>
    <row r="43" spans="13:15">
      <c r="M43" s="54"/>
      <c r="N43" s="55"/>
      <c r="O43" s="55"/>
    </row>
    <row r="44" spans="13:15">
      <c r="M44" s="54"/>
      <c r="N44" s="55"/>
      <c r="O44" s="55"/>
    </row>
    <row r="45" spans="13:15">
      <c r="M45" s="54"/>
      <c r="N45" s="55"/>
      <c r="O45" s="55"/>
    </row>
    <row r="46" spans="13:15">
      <c r="N46" s="55"/>
      <c r="O46" s="55"/>
    </row>
    <row r="47" spans="13:15">
      <c r="N47" s="55"/>
      <c r="O47" s="55"/>
    </row>
    <row r="48" spans="13:15">
      <c r="N48" s="55"/>
      <c r="O48" s="55"/>
    </row>
    <row r="49" spans="14:15">
      <c r="N49" s="55"/>
      <c r="O49" s="55"/>
    </row>
    <row r="50" spans="14:15">
      <c r="N50" s="55"/>
      <c r="O50" s="55"/>
    </row>
  </sheetData>
  <mergeCells count="2">
    <mergeCell ref="B2:E6"/>
    <mergeCell ref="G2:N6"/>
  </mergeCells>
  <dataValidations count="1">
    <dataValidation type="list" allowBlank="1" showInputMessage="1" showErrorMessage="1" sqref="G14 G26" xr:uid="{B95CFE79-0CDE-44B0-BD0D-35CFA0A23E8C}">
      <formula1>#REF!</formula1>
    </dataValidation>
  </dataValidations>
  <hyperlinks>
    <hyperlink ref="P2" location="'About and Summary'!A1" display="Home" xr:uid="{0A5703BA-E10C-4FA4-B8ED-3C1F634EB274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1BE31-DC50-4AC3-A3A1-DA0B987F07A0}">
  <dimension ref="A1:M31"/>
  <sheetViews>
    <sheetView showGridLines="0" topLeftCell="A3" workbookViewId="0">
      <selection activeCell="G15" sqref="G15"/>
    </sheetView>
  </sheetViews>
  <sheetFormatPr defaultColWidth="8.85546875" defaultRowHeight="12.75"/>
  <cols>
    <col min="1" max="1" width="8.85546875" style="10"/>
    <col min="2" max="2" width="9.85546875" style="10" bestFit="1" customWidth="1"/>
    <col min="3" max="3" width="17.28515625" style="10" bestFit="1" customWidth="1"/>
    <col min="4" max="4" width="20.28515625" style="10" bestFit="1" customWidth="1"/>
    <col min="5" max="6" width="14" style="10" bestFit="1" customWidth="1"/>
    <col min="7" max="7" width="43.5703125" style="10" bestFit="1" customWidth="1"/>
    <col min="8" max="12" width="8.85546875" style="10"/>
    <col min="13" max="13" width="16.42578125" style="10" bestFit="1" customWidth="1"/>
    <col min="14" max="14" width="15.28515625" style="10" bestFit="1" customWidth="1"/>
    <col min="15" max="15" width="18.28515625" style="10" bestFit="1" customWidth="1"/>
    <col min="16" max="16" width="9.28515625" style="10" bestFit="1" customWidth="1"/>
    <col min="17" max="17" width="36.28515625" style="10" bestFit="1" customWidth="1"/>
    <col min="18" max="16384" width="8.85546875" style="10"/>
  </cols>
  <sheetData>
    <row r="1" spans="1:13" s="29" customFormat="1" ht="13.5" thickBot="1">
      <c r="A1" s="28" t="s">
        <v>177</v>
      </c>
    </row>
    <row r="2" spans="1:13" s="8" customFormat="1" ht="13.9" customHeight="1" thickTop="1">
      <c r="B2" s="99" t="s">
        <v>8</v>
      </c>
      <c r="C2" s="99"/>
      <c r="D2" s="99"/>
      <c r="E2" s="16"/>
      <c r="F2" s="106" t="s">
        <v>13</v>
      </c>
      <c r="G2" s="100"/>
      <c r="H2" s="100"/>
      <c r="I2" s="100"/>
      <c r="J2" s="100"/>
      <c r="K2" s="100"/>
      <c r="L2" s="12"/>
      <c r="M2" s="15" t="s">
        <v>88</v>
      </c>
    </row>
    <row r="3" spans="1:13" s="8" customFormat="1" ht="13.9" customHeight="1">
      <c r="B3" s="99"/>
      <c r="C3" s="99"/>
      <c r="D3" s="99"/>
      <c r="E3" s="16"/>
      <c r="F3" s="100"/>
      <c r="G3" s="100"/>
      <c r="H3" s="100"/>
      <c r="I3" s="100"/>
      <c r="J3" s="100"/>
      <c r="K3" s="100"/>
      <c r="L3" s="12"/>
    </row>
    <row r="4" spans="1:13" s="8" customFormat="1" ht="13.9" customHeight="1">
      <c r="B4" s="99"/>
      <c r="C4" s="99"/>
      <c r="D4" s="99"/>
      <c r="E4" s="16"/>
      <c r="F4" s="100"/>
      <c r="G4" s="100"/>
      <c r="H4" s="100"/>
      <c r="I4" s="100"/>
      <c r="J4" s="100"/>
      <c r="K4" s="100"/>
      <c r="L4" s="12"/>
    </row>
    <row r="5" spans="1:13" s="8" customFormat="1" ht="13.9" customHeight="1">
      <c r="B5" s="99"/>
      <c r="C5" s="99"/>
      <c r="D5" s="99"/>
      <c r="E5" s="16"/>
      <c r="F5" s="100"/>
      <c r="G5" s="100"/>
      <c r="H5" s="100"/>
      <c r="I5" s="100"/>
      <c r="J5" s="100"/>
      <c r="K5" s="100"/>
      <c r="L5" s="12"/>
    </row>
    <row r="6" spans="1:13" s="8" customFormat="1" ht="13.9" customHeight="1">
      <c r="B6" s="99"/>
      <c r="C6" s="99"/>
      <c r="D6" s="99"/>
      <c r="E6" s="16"/>
      <c r="F6" s="100"/>
      <c r="G6" s="100"/>
      <c r="H6" s="100"/>
      <c r="I6" s="100"/>
      <c r="J6" s="100"/>
      <c r="K6" s="100"/>
      <c r="L6" s="12"/>
    </row>
    <row r="9" spans="1:13">
      <c r="C9" s="107" t="s">
        <v>81</v>
      </c>
      <c r="D9" s="108"/>
    </row>
    <row r="10" spans="1:13">
      <c r="B10" s="9" t="s">
        <v>14</v>
      </c>
      <c r="C10" s="9" t="s">
        <v>18</v>
      </c>
      <c r="D10" s="9" t="s">
        <v>19</v>
      </c>
      <c r="E10" s="9" t="s">
        <v>78</v>
      </c>
      <c r="F10" s="9" t="s">
        <v>79</v>
      </c>
      <c r="G10" s="9" t="s">
        <v>80</v>
      </c>
    </row>
    <row r="11" spans="1:13">
      <c r="B11" s="8" t="s">
        <v>15</v>
      </c>
      <c r="C11" s="11">
        <v>0</v>
      </c>
      <c r="D11" s="11">
        <v>0</v>
      </c>
      <c r="E11" s="95" t="b">
        <f>_xlfn.XOR(tblXOR_1[[#This Row],[Pizza BI Central]:[Pizza BI by the lake]])</f>
        <v>0</v>
      </c>
      <c r="F11" s="96" t="str">
        <f>IF(AND(tblXOR_1[[#This Row],[Pizza BI Central]]=0,tblXOR_1[[#This Row],[Pizza BI by the lake]]=0),"not tonight",_xlfn.XOR(tblXOR_1[[#This Row],[Pizza BI Central]:[Pizza BI by the lake]]))</f>
        <v>not tonight</v>
      </c>
      <c r="G11" s="95" t="str" cm="1">
        <f t="array" ref="G11">IFERROR(IF(tblXOR_1[[#This Row],[XOR Test 2]],_xlfn.XLOOKUP(1,tblXOR_1[[#This Row],[Pizza BI Central]:[Pizza BI by the lake]],tblXOR_1[[#Headers],[Pizza BI Central]:[Pizza BI by the lake]]),"you can't be in two places at the same time, can you?"),"")</f>
        <v/>
      </c>
      <c r="J11" s="10" t="str">
        <f ca="1">_xlfn.FORMULATEXT(tblXOR_1[[#This Row],[XOR Test 1]])</f>
        <v>=XOR(tblXOR_1[@[Pizza BI Central]:[Pizza BI by the lake]])</v>
      </c>
    </row>
    <row r="12" spans="1:13">
      <c r="B12" s="8" t="s">
        <v>6</v>
      </c>
      <c r="C12" s="11">
        <v>0</v>
      </c>
      <c r="D12" s="11">
        <v>1</v>
      </c>
      <c r="E12" s="95" t="b">
        <f>_xlfn.XOR(tblXOR_1[[#This Row],[Pizza BI Central]:[Pizza BI by the lake]])</f>
        <v>1</v>
      </c>
      <c r="F12" s="96" t="b">
        <f>IF(AND(tblXOR_1[[#This Row],[Pizza BI Central]]=0,tblXOR_1[[#This Row],[Pizza BI by the lake]]=0),"not tonight",_xlfn.XOR(tblXOR_1[[#This Row],[Pizza BI Central]:[Pizza BI by the lake]]))</f>
        <v>1</v>
      </c>
      <c r="G12" s="95" t="str" cm="1">
        <f t="array" ref="G12">IFERROR(IF(tblXOR_1[[#This Row],[XOR Test 2]],_xlfn.XLOOKUP(1,tblXOR_1[[#This Row],[Pizza BI Central]:[Pizza BI by the lake]],tblXOR_1[[#Headers],[Pizza BI Central]:[Pizza BI by the lake]]),"you can't be in two places at the same time, can you?"),"")</f>
        <v>Pizza BI by the lake</v>
      </c>
    </row>
    <row r="13" spans="1:13">
      <c r="B13" s="8" t="s">
        <v>16</v>
      </c>
      <c r="C13" s="11">
        <v>1</v>
      </c>
      <c r="D13" s="11">
        <v>1</v>
      </c>
      <c r="E13" s="95" t="b">
        <f>_xlfn.XOR(tblXOR_1[[#This Row],[Pizza BI Central]:[Pizza BI by the lake]])</f>
        <v>0</v>
      </c>
      <c r="F13" s="96" t="b">
        <f>IF(AND(tblXOR_1[[#This Row],[Pizza BI Central]]=0,tblXOR_1[[#This Row],[Pizza BI by the lake]]=0),"not tonight",_xlfn.XOR(tblXOR_1[[#This Row],[Pizza BI Central]:[Pizza BI by the lake]]))</f>
        <v>0</v>
      </c>
      <c r="G13" s="95" t="str" cm="1">
        <f t="array" ref="G13">IFERROR(IF(tblXOR_1[[#This Row],[XOR Test 2]],_xlfn.XLOOKUP(1,tblXOR_1[[#This Row],[Pizza BI Central]:[Pizza BI by the lake]],tblXOR_1[[#Headers],[Pizza BI Central]:[Pizza BI by the lake]]),"you can't be in two places at the same time, can you?"),"")</f>
        <v>you can't be in two places at the same time, can you?</v>
      </c>
      <c r="J13" s="10" t="str">
        <f ca="1">_xlfn.FORMULATEXT(tblXOR_1[[#This Row],[XOR Test 2]])</f>
        <v>=IF(AND([@[Pizza BI Central]]=0,[@[Pizza BI by the lake]]=0),"not tonight",XOR(tblXOR_1[@[Pizza BI Central]:[Pizza BI by the lake]]))</v>
      </c>
    </row>
    <row r="14" spans="1:13">
      <c r="B14" s="8" t="s">
        <v>5</v>
      </c>
      <c r="C14" s="11">
        <v>1</v>
      </c>
      <c r="D14" s="11">
        <v>0</v>
      </c>
      <c r="E14" s="95" t="b">
        <f>_xlfn.XOR(tblXOR_1[[#This Row],[Pizza BI Central]:[Pizza BI by the lake]])</f>
        <v>1</v>
      </c>
      <c r="F14" s="96" t="b">
        <f>IF(AND(tblXOR_1[[#This Row],[Pizza BI Central]]=0,tblXOR_1[[#This Row],[Pizza BI by the lake]]=0),"not tonight",_xlfn.XOR(tblXOR_1[[#This Row],[Pizza BI Central]:[Pizza BI by the lake]]))</f>
        <v>1</v>
      </c>
      <c r="G14" s="95" t="str" cm="1">
        <f t="array" ref="G14">IFERROR(IF(tblXOR_1[[#This Row],[XOR Test 2]],_xlfn.XLOOKUP(1,tblXOR_1[[#This Row],[Pizza BI Central]:[Pizza BI by the lake]],tblXOR_1[[#Headers],[Pizza BI Central]:[Pizza BI by the lake]]),"you can't be in two places at the same time, can you?"),"")</f>
        <v>Pizza BI Central</v>
      </c>
    </row>
    <row r="15" spans="1:13">
      <c r="B15" s="8" t="s">
        <v>17</v>
      </c>
      <c r="C15" s="11">
        <v>1</v>
      </c>
      <c r="D15" s="11">
        <v>1</v>
      </c>
      <c r="E15" s="95" t="b">
        <f>_xlfn.XOR(tblXOR_1[[#This Row],[Pizza BI Central]:[Pizza BI by the lake]])</f>
        <v>0</v>
      </c>
      <c r="F15" s="96" t="b">
        <f>IF(AND(tblXOR_1[[#This Row],[Pizza BI Central]]=0,tblXOR_1[[#This Row],[Pizza BI by the lake]]=0),"not tonight",_xlfn.XOR(tblXOR_1[[#This Row],[Pizza BI Central]:[Pizza BI by the lake]]))</f>
        <v>0</v>
      </c>
      <c r="G15" s="95" t="str" cm="1">
        <f t="array" ref="G15">IFERROR(IF(tblXOR_1[[#This Row],[XOR Test 2]],_xlfn.XLOOKUP(1,tblXOR_1[[#This Row],[Pizza BI Central]:[Pizza BI by the lake]],tblXOR_1[[#Headers],[Pizza BI Central]:[Pizza BI by the lake]]),"you can't be in two places at the same time, can you?"),"")</f>
        <v>you can't be in two places at the same time, can you?</v>
      </c>
    </row>
    <row r="16" spans="1:13">
      <c r="B16" s="8" t="s">
        <v>20</v>
      </c>
      <c r="C16" s="11">
        <v>1</v>
      </c>
      <c r="D16" s="11">
        <v>0</v>
      </c>
      <c r="E16" s="95" t="b">
        <f>_xlfn.XOR(tblXOR_1[[#This Row],[Pizza BI Central]:[Pizza BI by the lake]])</f>
        <v>1</v>
      </c>
      <c r="F16" s="96" t="b">
        <f>IF(AND(tblXOR_1[[#This Row],[Pizza BI Central]]=0,tblXOR_1[[#This Row],[Pizza BI by the lake]]=0),"not tonight",_xlfn.XOR(tblXOR_1[[#This Row],[Pizza BI Central]:[Pizza BI by the lake]]))</f>
        <v>1</v>
      </c>
      <c r="G16" s="95" t="str" cm="1">
        <f t="array" ref="G16">IFERROR(IF(tblXOR_1[[#This Row],[XOR Test 2]],_xlfn.XLOOKUP(1,tblXOR_1[[#This Row],[Pizza BI Central]:[Pizza BI by the lake]],tblXOR_1[[#Headers],[Pizza BI Central]:[Pizza BI by the lake]]),"you can't be in two places at the same time, can you?"),"")</f>
        <v>Pizza BI Central</v>
      </c>
    </row>
    <row r="17" spans="2:10">
      <c r="B17" s="8" t="s">
        <v>21</v>
      </c>
      <c r="C17" s="11">
        <v>1</v>
      </c>
      <c r="D17" s="11">
        <v>1</v>
      </c>
      <c r="E17" s="95" t="b">
        <f>_xlfn.XOR(tblXOR_1[[#This Row],[Pizza BI Central]:[Pizza BI by the lake]])</f>
        <v>0</v>
      </c>
      <c r="F17" s="96" t="b">
        <f>IF(AND(tblXOR_1[[#This Row],[Pizza BI Central]]=0,tblXOR_1[[#This Row],[Pizza BI by the lake]]=0),"not tonight",_xlfn.XOR(tblXOR_1[[#This Row],[Pizza BI Central]:[Pizza BI by the lake]]))</f>
        <v>0</v>
      </c>
      <c r="G17" s="95" t="str" cm="1">
        <f t="array" ref="G17">IFERROR(IF(tblXOR_1[[#This Row],[XOR Test 2]],_xlfn.XLOOKUP(1,tblXOR_1[[#This Row],[Pizza BI Central]:[Pizza BI by the lake]],tblXOR_1[[#Headers],[Pizza BI Central]:[Pizza BI by the lake]]),"you can't be in two places at the same time, can you?"),"")</f>
        <v>you can't be in two places at the same time, can you?</v>
      </c>
    </row>
    <row r="18" spans="2:10">
      <c r="B18" s="8" t="s">
        <v>22</v>
      </c>
      <c r="C18" s="11">
        <v>0</v>
      </c>
      <c r="D18" s="11">
        <v>1</v>
      </c>
      <c r="E18" s="95" t="b">
        <f>_xlfn.XOR(tblXOR_1[[#This Row],[Pizza BI Central]:[Pizza BI by the lake]])</f>
        <v>1</v>
      </c>
      <c r="F18" s="96" t="b">
        <f>IF(AND(tblXOR_1[[#This Row],[Pizza BI Central]]=0,tblXOR_1[[#This Row],[Pizza BI by the lake]]=0),"not tonight",_xlfn.XOR(tblXOR_1[[#This Row],[Pizza BI Central]:[Pizza BI by the lake]]))</f>
        <v>1</v>
      </c>
      <c r="G18" s="95" t="str" cm="1">
        <f t="array" ref="G18">IFERROR(IF(tblXOR_1[[#This Row],[XOR Test 2]],_xlfn.XLOOKUP(1,tblXOR_1[[#This Row],[Pizza BI Central]:[Pizza BI by the lake]],tblXOR_1[[#Headers],[Pizza BI Central]:[Pizza BI by the lake]]),"you can't be in two places at the same time, can you?"),"")</f>
        <v>Pizza BI by the lake</v>
      </c>
    </row>
    <row r="19" spans="2:10">
      <c r="B19" s="8" t="s">
        <v>23</v>
      </c>
      <c r="C19" s="11">
        <v>1</v>
      </c>
      <c r="D19" s="11">
        <v>1</v>
      </c>
      <c r="E19" s="95" t="b">
        <f>_xlfn.XOR(tblXOR_1[[#This Row],[Pizza BI Central]:[Pizza BI by the lake]])</f>
        <v>0</v>
      </c>
      <c r="F19" s="96" t="b">
        <f>IF(AND(tblXOR_1[[#This Row],[Pizza BI Central]]=0,tblXOR_1[[#This Row],[Pizza BI by the lake]]=0),"not tonight",_xlfn.XOR(tblXOR_1[[#This Row],[Pizza BI Central]:[Pizza BI by the lake]]))</f>
        <v>0</v>
      </c>
      <c r="G19" s="95" t="str" cm="1">
        <f t="array" ref="G19">IFERROR(IF(tblXOR_1[[#This Row],[XOR Test 2]],_xlfn.XLOOKUP(1,tblXOR_1[[#This Row],[Pizza BI Central]:[Pizza BI by the lake]],tblXOR_1[[#Headers],[Pizza BI Central]:[Pizza BI by the lake]]),"you can't be in two places at the same time, can you?"),"")</f>
        <v>you can't be in two places at the same time, can you?</v>
      </c>
    </row>
    <row r="20" spans="2:10">
      <c r="B20" s="8" t="s">
        <v>24</v>
      </c>
      <c r="C20" s="11">
        <v>0</v>
      </c>
      <c r="D20" s="11">
        <v>0</v>
      </c>
      <c r="E20" s="95" t="b">
        <f>_xlfn.XOR(tblXOR_1[[#This Row],[Pizza BI Central]:[Pizza BI by the lake]])</f>
        <v>0</v>
      </c>
      <c r="F20" s="96" t="str">
        <f>IF(AND(tblXOR_1[[#This Row],[Pizza BI Central]]=0,tblXOR_1[[#This Row],[Pizza BI by the lake]]=0),"not tonight",_xlfn.XOR(tblXOR_1[[#This Row],[Pizza BI Central]:[Pizza BI by the lake]]))</f>
        <v>not tonight</v>
      </c>
      <c r="G20" s="95" t="str" cm="1">
        <f t="array" ref="G20">IFERROR(IF(tblXOR_1[[#This Row],[XOR Test 2]],_xlfn.XLOOKUP(1,tblXOR_1[[#This Row],[Pizza BI Central]:[Pizza BI by the lake]],tblXOR_1[[#Headers],[Pizza BI Central]:[Pizza BI by the lake]]),"you can't be in two places at the same time, can you?"),"")</f>
        <v/>
      </c>
    </row>
    <row r="21" spans="2:10">
      <c r="B21" s="8" t="s">
        <v>7</v>
      </c>
      <c r="C21" s="11">
        <v>0</v>
      </c>
      <c r="D21" s="11">
        <v>1</v>
      </c>
      <c r="E21" s="95" t="b">
        <f>_xlfn.XOR(tblXOR_1[[#This Row],[Pizza BI Central]:[Pizza BI by the lake]])</f>
        <v>1</v>
      </c>
      <c r="F21" s="96" t="b">
        <f>IF(AND(tblXOR_1[[#This Row],[Pizza BI Central]]=0,tblXOR_1[[#This Row],[Pizza BI by the lake]]=0),"not tonight",_xlfn.XOR(tblXOR_1[[#This Row],[Pizza BI Central]:[Pizza BI by the lake]]))</f>
        <v>1</v>
      </c>
      <c r="G21" s="95" t="str" cm="1">
        <f t="array" ref="G21">IFERROR(IF(tblXOR_1[[#This Row],[XOR Test 2]],_xlfn.XLOOKUP(1,tblXOR_1[[#This Row],[Pizza BI Central]:[Pizza BI by the lake]],tblXOR_1[[#Headers],[Pizza BI Central]:[Pizza BI by the lake]]),"you can't be in two places at the same time, can you?"),"")</f>
        <v>Pizza BI by the lake</v>
      </c>
    </row>
    <row r="25" spans="2:10">
      <c r="G25" s="109" t="str">
        <f ca="1">_xlfn.FORMULATEXT(G11)</f>
        <v>=IFERROR(IF([@[XOR Test 2]],XLOOKUP(1,tblXOR_1[@[Pizza BI Central]:[Pizza BI by the lake]],tblXOR_1[[#Headers],[Pizza BI Central]:[Pizza BI by the lake]]),"you can't be in two places at the same time, can you?"),"")</v>
      </c>
      <c r="H25" s="109"/>
      <c r="I25" s="109"/>
      <c r="J25" s="109"/>
    </row>
    <row r="26" spans="2:10">
      <c r="G26" s="109"/>
      <c r="H26" s="109"/>
      <c r="I26" s="109"/>
      <c r="J26" s="109"/>
    </row>
    <row r="27" spans="2:10">
      <c r="G27" s="109"/>
      <c r="H27" s="109"/>
      <c r="I27" s="109"/>
      <c r="J27" s="109"/>
    </row>
    <row r="28" spans="2:10">
      <c r="G28" s="109"/>
      <c r="H28" s="109"/>
      <c r="I28" s="109"/>
      <c r="J28" s="109"/>
    </row>
    <row r="29" spans="2:10">
      <c r="G29" s="109"/>
      <c r="H29" s="109"/>
      <c r="I29" s="109"/>
      <c r="J29" s="109"/>
    </row>
    <row r="30" spans="2:10">
      <c r="G30" s="109"/>
      <c r="H30" s="109"/>
      <c r="I30" s="109"/>
      <c r="J30" s="109"/>
    </row>
    <row r="31" spans="2:10">
      <c r="G31" s="109"/>
      <c r="H31" s="109"/>
      <c r="I31" s="109"/>
      <c r="J31" s="109"/>
    </row>
  </sheetData>
  <mergeCells count="4">
    <mergeCell ref="F2:K6"/>
    <mergeCell ref="C9:D9"/>
    <mergeCell ref="B2:D6"/>
    <mergeCell ref="G25:J31"/>
  </mergeCells>
  <hyperlinks>
    <hyperlink ref="M2" location="'About and Summary'!A1" display="Home" xr:uid="{34A730D2-A784-4B14-A1C8-16DB771F8F1D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14FF0-B2FF-4ECA-8B5B-7F9CE06EB7CB}">
  <dimension ref="A1:S65"/>
  <sheetViews>
    <sheetView showGridLines="0" workbookViewId="0">
      <selection activeCell="B2" sqref="B2:E6"/>
    </sheetView>
  </sheetViews>
  <sheetFormatPr defaultColWidth="8.85546875" defaultRowHeight="12.75"/>
  <cols>
    <col min="1" max="2" width="8.85546875" style="10"/>
    <col min="3" max="8" width="9.7109375" style="10" customWidth="1"/>
    <col min="9" max="9" width="9.28515625" style="10" bestFit="1" customWidth="1"/>
    <col min="10" max="10" width="16.7109375" style="10" bestFit="1" customWidth="1"/>
    <col min="11" max="11" width="15.5703125" style="10" bestFit="1" customWidth="1"/>
    <col min="12" max="14" width="8.85546875" style="10"/>
    <col min="15" max="15" width="15.28515625" style="10" bestFit="1" customWidth="1"/>
    <col min="16" max="16" width="10.5703125" style="10" bestFit="1" customWidth="1"/>
    <col min="17" max="17" width="10.7109375" style="10" customWidth="1"/>
    <col min="18" max="18" width="15.7109375" style="10" bestFit="1" customWidth="1"/>
    <col min="19" max="16384" width="8.85546875" style="10"/>
  </cols>
  <sheetData>
    <row r="1" spans="1:18" s="29" customFormat="1" ht="13.5" thickBot="1">
      <c r="A1" s="28" t="s">
        <v>178</v>
      </c>
    </row>
    <row r="2" spans="1:18" s="8" customFormat="1" ht="13.5" thickTop="1">
      <c r="B2" s="99" t="s">
        <v>8</v>
      </c>
      <c r="C2" s="99"/>
      <c r="D2" s="99"/>
      <c r="E2" s="99"/>
      <c r="G2" s="106" t="s">
        <v>13</v>
      </c>
      <c r="H2" s="100"/>
      <c r="I2" s="100"/>
      <c r="J2" s="100"/>
      <c r="K2" s="100"/>
      <c r="L2" s="100"/>
      <c r="N2" s="49" t="s">
        <v>88</v>
      </c>
      <c r="O2" s="49"/>
    </row>
    <row r="3" spans="1:18" s="8" customFormat="1">
      <c r="B3" s="99"/>
      <c r="C3" s="99"/>
      <c r="D3" s="99"/>
      <c r="E3" s="99"/>
      <c r="G3" s="100"/>
      <c r="H3" s="100"/>
      <c r="I3" s="100"/>
      <c r="J3" s="100"/>
      <c r="K3" s="100"/>
      <c r="L3" s="100"/>
    </row>
    <row r="4" spans="1:18" s="8" customFormat="1">
      <c r="B4" s="99"/>
      <c r="C4" s="99"/>
      <c r="D4" s="99"/>
      <c r="E4" s="99"/>
      <c r="G4" s="100"/>
      <c r="H4" s="100"/>
      <c r="I4" s="100"/>
      <c r="J4" s="100"/>
      <c r="K4" s="100"/>
      <c r="L4" s="100"/>
    </row>
    <row r="5" spans="1:18" s="8" customFormat="1">
      <c r="B5" s="99"/>
      <c r="C5" s="99"/>
      <c r="D5" s="99"/>
      <c r="E5" s="99"/>
      <c r="G5" s="100"/>
      <c r="H5" s="100"/>
      <c r="I5" s="100"/>
      <c r="J5" s="100"/>
      <c r="K5" s="100"/>
      <c r="L5" s="100"/>
    </row>
    <row r="6" spans="1:18" s="8" customFormat="1">
      <c r="B6" s="99"/>
      <c r="C6" s="99"/>
      <c r="D6" s="99"/>
      <c r="E6" s="99"/>
      <c r="G6" s="100"/>
      <c r="H6" s="100"/>
      <c r="I6" s="100"/>
      <c r="J6" s="100"/>
      <c r="K6" s="100"/>
      <c r="L6" s="100"/>
    </row>
    <row r="10" spans="1:18">
      <c r="C10" s="9">
        <v>1</v>
      </c>
      <c r="D10" s="9">
        <v>2</v>
      </c>
      <c r="E10" s="9">
        <v>3</v>
      </c>
      <c r="F10" s="9">
        <v>4</v>
      </c>
      <c r="G10" s="9">
        <v>5</v>
      </c>
      <c r="H10" s="9" t="s">
        <v>10</v>
      </c>
      <c r="J10" s="9" t="s">
        <v>27</v>
      </c>
      <c r="K10" s="9" t="s">
        <v>28</v>
      </c>
      <c r="L10" s="9" t="s">
        <v>193</v>
      </c>
      <c r="M10" s="9" t="s">
        <v>194</v>
      </c>
      <c r="N10" s="9"/>
      <c r="O10" s="9"/>
      <c r="P10" s="9"/>
      <c r="Q10" s="9"/>
      <c r="R10" s="9"/>
    </row>
    <row r="11" spans="1:18">
      <c r="A11" s="65">
        <f>COUNTIF($C11:$G11,"FALSE")</f>
        <v>5</v>
      </c>
      <c r="B11" s="65">
        <f>COUNTIF($C11:$G11,"TRUE")</f>
        <v>0</v>
      </c>
      <c r="C11" s="10" t="b">
        <v>0</v>
      </c>
      <c r="D11" s="10" t="b">
        <v>0</v>
      </c>
      <c r="E11" s="10" t="b">
        <v>0</v>
      </c>
      <c r="F11" s="10" t="b">
        <v>0</v>
      </c>
      <c r="G11" s="10" t="b">
        <v>0</v>
      </c>
      <c r="H11" s="10" t="b">
        <f>_xlfn.XOR(C11:G11)</f>
        <v>0</v>
      </c>
      <c r="J11" s="8" t="s">
        <v>33</v>
      </c>
      <c r="K11" s="66">
        <v>44573.416666666664</v>
      </c>
      <c r="L11" s="8">
        <f>COUNTIFS($J$11:J11,J11)</f>
        <v>1</v>
      </c>
      <c r="M11" s="8" t="b" cm="1">
        <f t="array" ref="M11">_xlfn.XOR(J11=$J$11:J11)</f>
        <v>1</v>
      </c>
      <c r="N11" s="74" t="str" cm="1">
        <f t="array" ref="N11">IF(M11,"",K11-_xlfn.XLOOKUP(J11,$J$11:J11,$K$11:K11,,,1))</f>
        <v/>
      </c>
      <c r="O11" s="68">
        <f>ROUNDDOWN(K11,0)</f>
        <v>44573</v>
      </c>
      <c r="P11" s="67">
        <f>MOD(K11,1)</f>
        <v>0.41666666666424135</v>
      </c>
      <c r="Q11" s="74" t="str">
        <f t="shared" ref="Q11:Q20" si="0">IF(M11,"",_xlfn.MAXIFS($P$11:$P$50,$J$11:$J$50,J11,$O$11:$O$50,ROUNDDOWN(K11,0))-_xlfn.MINIFS($P$11:$P$50,$J$11:$J$50,J11,$O$11:$O$50,ROUNDDOWN(K11,0)))</f>
        <v/>
      </c>
      <c r="R11" s="8" t="str">
        <f t="shared" ref="R11:R41" si="1">IF(M11,"IN","OUT")</f>
        <v>IN</v>
      </c>
    </row>
    <row r="12" spans="1:18">
      <c r="A12" s="65">
        <f t="shared" ref="A12:A16" si="2">COUNTIF($C12:$G12,"FALSE")</f>
        <v>4</v>
      </c>
      <c r="B12" s="65">
        <f t="shared" ref="B12:B16" si="3">COUNTIF($C12:$G12,"TRUE")</f>
        <v>1</v>
      </c>
      <c r="C12" s="10" t="b">
        <v>1</v>
      </c>
      <c r="D12" s="10" t="b">
        <v>0</v>
      </c>
      <c r="E12" s="10" t="b">
        <v>0</v>
      </c>
      <c r="F12" s="10" t="b">
        <v>0</v>
      </c>
      <c r="G12" s="10" t="b">
        <v>0</v>
      </c>
      <c r="H12" s="10" t="b">
        <f t="shared" ref="H12:H16" si="4">_xlfn.XOR(C12:G12)</f>
        <v>1</v>
      </c>
      <c r="J12" s="8" t="s">
        <v>31</v>
      </c>
      <c r="K12" s="66">
        <v>44573.4375</v>
      </c>
      <c r="L12" s="8">
        <f>COUNTIFS($J$11:J12,J12)</f>
        <v>1</v>
      </c>
      <c r="M12" s="8" t="b" cm="1">
        <f t="array" ref="M12">_xlfn.XOR(J12=$J$11:J12)</f>
        <v>1</v>
      </c>
      <c r="N12" s="74" t="str" cm="1">
        <f t="array" ref="N12">IF(M12,"",K12-_xlfn.XLOOKUP(J12,$J$11:J12,$K$11:K12,,,1))</f>
        <v/>
      </c>
      <c r="O12" s="68">
        <f t="shared" ref="O12:O41" si="5">ROUNDDOWN(K12,0)</f>
        <v>44573</v>
      </c>
      <c r="P12" s="67">
        <f t="shared" ref="P12:P50" si="6">MOD(K12,1)</f>
        <v>0.4375</v>
      </c>
      <c r="Q12" s="74" t="str">
        <f t="shared" si="0"/>
        <v/>
      </c>
      <c r="R12" s="8" t="str">
        <f t="shared" si="1"/>
        <v>IN</v>
      </c>
    </row>
    <row r="13" spans="1:18">
      <c r="A13" s="65">
        <f t="shared" si="2"/>
        <v>3</v>
      </c>
      <c r="B13" s="65">
        <f t="shared" si="3"/>
        <v>2</v>
      </c>
      <c r="C13" s="10" t="b">
        <v>1</v>
      </c>
      <c r="D13" s="10" t="b">
        <v>1</v>
      </c>
      <c r="E13" s="10" t="b">
        <v>0</v>
      </c>
      <c r="F13" s="10" t="b">
        <v>0</v>
      </c>
      <c r="G13" s="10" t="b">
        <v>0</v>
      </c>
      <c r="H13" s="10" t="b">
        <f t="shared" si="4"/>
        <v>0</v>
      </c>
      <c r="J13" s="8" t="s">
        <v>38</v>
      </c>
      <c r="K13" s="66">
        <v>44573.458333391201</v>
      </c>
      <c r="L13" s="8">
        <f>COUNTIFS($J$11:J13,J13)</f>
        <v>1</v>
      </c>
      <c r="M13" s="8" t="b" cm="1">
        <f t="array" ref="M13">_xlfn.XOR(J13=$J$11:J13)</f>
        <v>1</v>
      </c>
      <c r="N13" s="74" t="str" cm="1">
        <f t="array" ref="N13">IF(M13,"",K13-_xlfn.XLOOKUP(J13,$J$11:J13,$K$11:K13,,,1))</f>
        <v/>
      </c>
      <c r="O13" s="68">
        <f t="shared" si="5"/>
        <v>44573</v>
      </c>
      <c r="P13" s="67">
        <f t="shared" si="6"/>
        <v>0.45833339120144956</v>
      </c>
      <c r="Q13" s="74" t="str">
        <f t="shared" si="0"/>
        <v/>
      </c>
      <c r="R13" s="8" t="str">
        <f t="shared" si="1"/>
        <v>IN</v>
      </c>
    </row>
    <row r="14" spans="1:18">
      <c r="A14" s="65">
        <f t="shared" si="2"/>
        <v>2</v>
      </c>
      <c r="B14" s="65">
        <f t="shared" si="3"/>
        <v>3</v>
      </c>
      <c r="C14" s="10" t="b">
        <v>1</v>
      </c>
      <c r="D14" s="10" t="b">
        <v>1</v>
      </c>
      <c r="E14" s="10" t="b">
        <v>1</v>
      </c>
      <c r="F14" s="10" t="b">
        <v>0</v>
      </c>
      <c r="G14" s="10" t="b">
        <v>0</v>
      </c>
      <c r="H14" s="10" t="b">
        <f t="shared" si="4"/>
        <v>1</v>
      </c>
      <c r="J14" s="8" t="s">
        <v>32</v>
      </c>
      <c r="K14" s="66">
        <v>44573.47916678241</v>
      </c>
      <c r="L14" s="8">
        <f>COUNTIFS($J$11:J14,J14)</f>
        <v>1</v>
      </c>
      <c r="M14" s="8" t="b" cm="1">
        <f t="array" ref="M14">_xlfn.XOR(J14=$J$11:J14)</f>
        <v>1</v>
      </c>
      <c r="N14" s="74" t="str" cm="1">
        <f t="array" ref="N14">IF(M14,"",K14-_xlfn.XLOOKUP(J14,$J$11:J14,$K$11:K14,,,1))</f>
        <v/>
      </c>
      <c r="O14" s="68">
        <f t="shared" si="5"/>
        <v>44573</v>
      </c>
      <c r="P14" s="67">
        <f t="shared" si="6"/>
        <v>0.47916678241017507</v>
      </c>
      <c r="Q14" s="74" t="str">
        <f t="shared" si="0"/>
        <v/>
      </c>
      <c r="R14" s="8" t="str">
        <f t="shared" si="1"/>
        <v>IN</v>
      </c>
    </row>
    <row r="15" spans="1:18">
      <c r="A15" s="65">
        <f t="shared" si="2"/>
        <v>1</v>
      </c>
      <c r="B15" s="65">
        <f t="shared" si="3"/>
        <v>4</v>
      </c>
      <c r="C15" s="10" t="b">
        <v>1</v>
      </c>
      <c r="D15" s="10" t="b">
        <v>1</v>
      </c>
      <c r="E15" s="10" t="b">
        <v>1</v>
      </c>
      <c r="F15" s="10" t="b">
        <v>1</v>
      </c>
      <c r="G15" s="10" t="b">
        <v>0</v>
      </c>
      <c r="H15" s="10" t="b">
        <f t="shared" si="4"/>
        <v>0</v>
      </c>
      <c r="J15" s="8" t="s">
        <v>34</v>
      </c>
      <c r="K15" s="66">
        <v>44573.500000173612</v>
      </c>
      <c r="L15" s="8">
        <f>COUNTIFS($J$11:J15,J15)</f>
        <v>1</v>
      </c>
      <c r="M15" s="8" t="b" cm="1">
        <f t="array" ref="M15">_xlfn.XOR(J15=$J$11:J15)</f>
        <v>1</v>
      </c>
      <c r="N15" s="74" t="str" cm="1">
        <f t="array" ref="N15">IF(M15,"",K15-_xlfn.XLOOKUP(J15,$J$11:J15,$K$11:K15,,,1))</f>
        <v/>
      </c>
      <c r="O15" s="68">
        <f t="shared" si="5"/>
        <v>44573</v>
      </c>
      <c r="P15" s="67">
        <f t="shared" si="6"/>
        <v>0.50000017361162463</v>
      </c>
      <c r="Q15" s="74" t="str">
        <f t="shared" si="0"/>
        <v/>
      </c>
      <c r="R15" s="8" t="str">
        <f t="shared" si="1"/>
        <v>IN</v>
      </c>
    </row>
    <row r="16" spans="1:18">
      <c r="A16" s="65">
        <f t="shared" si="2"/>
        <v>0</v>
      </c>
      <c r="B16" s="65">
        <f t="shared" si="3"/>
        <v>5</v>
      </c>
      <c r="C16" s="10" t="b">
        <v>1</v>
      </c>
      <c r="D16" s="10" t="b">
        <v>1</v>
      </c>
      <c r="E16" s="10" t="b">
        <v>1</v>
      </c>
      <c r="F16" s="10" t="b">
        <v>1</v>
      </c>
      <c r="G16" s="10" t="b">
        <v>1</v>
      </c>
      <c r="H16" s="10" t="b">
        <f t="shared" si="4"/>
        <v>1</v>
      </c>
      <c r="J16" s="8" t="s">
        <v>37</v>
      </c>
      <c r="K16" s="66">
        <v>44573.520833564813</v>
      </c>
      <c r="L16" s="8">
        <f>COUNTIFS($J$11:J16,J16)</f>
        <v>1</v>
      </c>
      <c r="M16" s="8" t="b" cm="1">
        <f t="array" ref="M16">_xlfn.XOR(J16=$J$11:J16)</f>
        <v>1</v>
      </c>
      <c r="N16" s="74" t="str" cm="1">
        <f t="array" ref="N16">IF(M16,"",K16-_xlfn.XLOOKUP(J16,$J$11:J16,$K$11:K16,,,1))</f>
        <v/>
      </c>
      <c r="O16" s="68">
        <f t="shared" si="5"/>
        <v>44573</v>
      </c>
      <c r="P16" s="67">
        <f t="shared" si="6"/>
        <v>0.52083356481307419</v>
      </c>
      <c r="Q16" s="74" t="str">
        <f t="shared" si="0"/>
        <v/>
      </c>
      <c r="R16" s="8" t="str">
        <f t="shared" si="1"/>
        <v>IN</v>
      </c>
    </row>
    <row r="17" spans="3:18">
      <c r="J17" s="8" t="s">
        <v>30</v>
      </c>
      <c r="K17" s="66">
        <v>44573.541666956022</v>
      </c>
      <c r="L17" s="8">
        <f>COUNTIFS($J$11:J17,J17)</f>
        <v>1</v>
      </c>
      <c r="M17" s="8" t="b" cm="1">
        <f t="array" ref="M17">_xlfn.XOR(J17=$J$11:J17)</f>
        <v>1</v>
      </c>
      <c r="N17" s="74" t="str" cm="1">
        <f t="array" ref="N17">IF(M17,"",K17-_xlfn.XLOOKUP(J17,$J$11:J17,$K$11:K17,,,1))</f>
        <v/>
      </c>
      <c r="O17" s="68">
        <f t="shared" si="5"/>
        <v>44573</v>
      </c>
      <c r="P17" s="67">
        <f t="shared" si="6"/>
        <v>0.54166695602179971</v>
      </c>
      <c r="Q17" s="74" t="str">
        <f t="shared" si="0"/>
        <v/>
      </c>
      <c r="R17" s="8" t="str">
        <f t="shared" si="1"/>
        <v>IN</v>
      </c>
    </row>
    <row r="18" spans="3:18">
      <c r="J18" s="8" t="s">
        <v>29</v>
      </c>
      <c r="K18" s="66">
        <v>44573.562500347223</v>
      </c>
      <c r="L18" s="8">
        <f>COUNTIFS($J$11:J18,J18)</f>
        <v>1</v>
      </c>
      <c r="M18" s="8" t="b" cm="1">
        <f t="array" ref="M18">_xlfn.XOR(J18=$J$11:J18)</f>
        <v>1</v>
      </c>
      <c r="N18" s="74" t="str" cm="1">
        <f t="array" ref="N18">IF(M18,"",K18-_xlfn.XLOOKUP(J18,$J$11:J18,$K$11:K18,,,1))</f>
        <v/>
      </c>
      <c r="O18" s="68">
        <f t="shared" si="5"/>
        <v>44573</v>
      </c>
      <c r="P18" s="67">
        <f t="shared" si="6"/>
        <v>0.56250034722324926</v>
      </c>
      <c r="Q18" s="74" t="str">
        <f t="shared" si="0"/>
        <v/>
      </c>
      <c r="R18" s="8" t="str">
        <f t="shared" si="1"/>
        <v>IN</v>
      </c>
    </row>
    <row r="19" spans="3:18">
      <c r="C19" s="10" t="s">
        <v>25</v>
      </c>
      <c r="J19" s="8" t="s">
        <v>36</v>
      </c>
      <c r="K19" s="66">
        <v>44573.583333738425</v>
      </c>
      <c r="L19" s="8">
        <f>COUNTIFS($J$11:J19,J19)</f>
        <v>1</v>
      </c>
      <c r="M19" s="8" t="b" cm="1">
        <f t="array" ref="M19">_xlfn.XOR(J19=$J$11:J19)</f>
        <v>1</v>
      </c>
      <c r="N19" s="74" t="str" cm="1">
        <f t="array" ref="N19">IF(M19,"",K19-_xlfn.XLOOKUP(J19,$J$11:J19,$K$11:K19,,,1))</f>
        <v/>
      </c>
      <c r="O19" s="68">
        <f t="shared" si="5"/>
        <v>44573</v>
      </c>
      <c r="P19" s="67">
        <f t="shared" si="6"/>
        <v>0.58333373842469882</v>
      </c>
      <c r="Q19" s="74" t="str">
        <f t="shared" si="0"/>
        <v/>
      </c>
      <c r="R19" s="8" t="str">
        <f t="shared" si="1"/>
        <v>IN</v>
      </c>
    </row>
    <row r="20" spans="3:18">
      <c r="C20" s="10" t="s">
        <v>26</v>
      </c>
      <c r="J20" s="8" t="s">
        <v>35</v>
      </c>
      <c r="K20" s="66">
        <v>44573.604167129626</v>
      </c>
      <c r="L20" s="8">
        <f>COUNTIFS($J$11:J20,J20)</f>
        <v>1</v>
      </c>
      <c r="M20" s="8" t="b" cm="1">
        <f t="array" ref="M20">_xlfn.XOR(J20=$J$11:J20)</f>
        <v>1</v>
      </c>
      <c r="N20" s="74" t="str" cm="1">
        <f t="array" ref="N20">IF(M20,"",K20-_xlfn.XLOOKUP(J20,$J$11:J20,$K$11:K20,,,1))</f>
        <v/>
      </c>
      <c r="O20" s="68">
        <f t="shared" si="5"/>
        <v>44573</v>
      </c>
      <c r="P20" s="67">
        <f t="shared" si="6"/>
        <v>0.60416712962614838</v>
      </c>
      <c r="Q20" s="74" t="str">
        <f t="shared" si="0"/>
        <v/>
      </c>
      <c r="R20" s="8" t="str">
        <f t="shared" si="1"/>
        <v>IN</v>
      </c>
    </row>
    <row r="21" spans="3:18">
      <c r="J21" s="8" t="s">
        <v>34</v>
      </c>
      <c r="K21" s="66">
        <v>44573.625000520835</v>
      </c>
      <c r="L21" s="8">
        <f>COUNTIFS($J$11:J21,J21)</f>
        <v>2</v>
      </c>
      <c r="M21" s="8" t="b" cm="1">
        <f t="array" ref="M21">_xlfn.XOR(J21=$J$11:J21)</f>
        <v>0</v>
      </c>
      <c r="N21" s="74" cm="1">
        <f t="array" ref="N21">IF(M21,"",K21-_xlfn.XLOOKUP(J21,$J$11:J21,$K$11:K21,,,1))</f>
        <v>0.12500034722324926</v>
      </c>
      <c r="O21" s="68">
        <f t="shared" si="5"/>
        <v>44573</v>
      </c>
      <c r="P21" s="67">
        <f t="shared" si="6"/>
        <v>0.6250005208348739</v>
      </c>
      <c r="Q21" s="74">
        <f>IF(M21,"",_xlfn.MAXIFS($P$11:$P$50,$J$11:$J$50,J21,$O$11:$O$50,ROUNDDOWN(K21,0))-_xlfn.MINIFS($P$11:$P$50,$J$11:$J$50,J21,$O$11:$O$50,ROUNDDOWN(K21,0)))</f>
        <v>0.12500034722324926</v>
      </c>
      <c r="R21" s="8" t="str">
        <f t="shared" si="1"/>
        <v>OUT</v>
      </c>
    </row>
    <row r="22" spans="3:18">
      <c r="J22" s="8" t="s">
        <v>37</v>
      </c>
      <c r="K22" s="66">
        <v>44573.645833912036</v>
      </c>
      <c r="L22" s="8">
        <f>COUNTIFS($J$11:J22,J22)</f>
        <v>2</v>
      </c>
      <c r="M22" s="8" t="b" cm="1">
        <f t="array" ref="M22">_xlfn.XOR(J22=$J$11:J22)</f>
        <v>0</v>
      </c>
      <c r="N22" s="74" cm="1">
        <f t="array" ref="N22">IF(M22,"",K22-_xlfn.XLOOKUP(J22,$J$11:J22,$K$11:K22,,,1))</f>
        <v>0.12500034722324926</v>
      </c>
      <c r="O22" s="68">
        <f t="shared" si="5"/>
        <v>44573</v>
      </c>
      <c r="P22" s="67">
        <f t="shared" si="6"/>
        <v>0.64583391203632345</v>
      </c>
      <c r="Q22" s="74">
        <f t="shared" ref="Q22:Q50" si="7">IF(M22,"",_xlfn.MAXIFS($P$11:$P$50,$J$11:$J$50,J22,$O$11:$O$50,ROUNDDOWN(K22,0))-_xlfn.MINIFS($P$11:$P$50,$J$11:$J$50,J22,$O$11:$O$50,ROUNDDOWN(K22,0)))</f>
        <v>0.12500034722324926</v>
      </c>
      <c r="R22" s="8" t="str">
        <f t="shared" si="1"/>
        <v>OUT</v>
      </c>
    </row>
    <row r="23" spans="3:18">
      <c r="J23" s="8" t="s">
        <v>36</v>
      </c>
      <c r="K23" s="66">
        <v>44573.666667303238</v>
      </c>
      <c r="L23" s="8">
        <f>COUNTIFS($J$11:J23,J23)</f>
        <v>2</v>
      </c>
      <c r="M23" s="8" t="b" cm="1">
        <f t="array" ref="M23">_xlfn.XOR(J23=$J$11:J23)</f>
        <v>0</v>
      </c>
      <c r="N23" s="74" cm="1">
        <f t="array" ref="N23">IF(M23,"",K23-_xlfn.XLOOKUP(J23,$J$11:J23,$K$11:K23,,,1))</f>
        <v>8.333356481307419E-2</v>
      </c>
      <c r="O23" s="68">
        <f t="shared" si="5"/>
        <v>44573</v>
      </c>
      <c r="P23" s="67">
        <f t="shared" si="6"/>
        <v>0.66666730323777301</v>
      </c>
      <c r="Q23" s="74">
        <f t="shared" si="7"/>
        <v>8.333356481307419E-2</v>
      </c>
      <c r="R23" s="8" t="str">
        <f t="shared" si="1"/>
        <v>OUT</v>
      </c>
    </row>
    <row r="24" spans="3:18">
      <c r="J24" s="8" t="s">
        <v>35</v>
      </c>
      <c r="K24" s="66">
        <v>44573.687500694446</v>
      </c>
      <c r="L24" s="8">
        <f>COUNTIFS($J$11:J24,J24)</f>
        <v>2</v>
      </c>
      <c r="M24" s="8" t="b" cm="1">
        <f t="array" ref="M24">_xlfn.XOR(J24=$J$11:J24)</f>
        <v>0</v>
      </c>
      <c r="N24" s="74" cm="1">
        <f t="array" ref="N24">IF(M24,"",K24-_xlfn.XLOOKUP(J24,$J$11:J24,$K$11:K24,,,1))</f>
        <v>8.3333564820350148E-2</v>
      </c>
      <c r="O24" s="68">
        <f t="shared" si="5"/>
        <v>44573</v>
      </c>
      <c r="P24" s="67">
        <f t="shared" si="6"/>
        <v>0.68750069444649853</v>
      </c>
      <c r="Q24" s="74">
        <f t="shared" si="7"/>
        <v>8.3333564820350148E-2</v>
      </c>
      <c r="R24" s="8" t="str">
        <f t="shared" si="1"/>
        <v>OUT</v>
      </c>
    </row>
    <row r="25" spans="3:18">
      <c r="J25" s="8" t="s">
        <v>33</v>
      </c>
      <c r="K25" s="66">
        <v>44573.708334085648</v>
      </c>
      <c r="L25" s="8">
        <f>COUNTIFS($J$11:J25,J25)</f>
        <v>2</v>
      </c>
      <c r="M25" s="8" t="b" cm="1">
        <f t="array" ref="M25">_xlfn.XOR(J25=$J$11:J25)</f>
        <v>0</v>
      </c>
      <c r="N25" s="74" cm="1">
        <f t="array" ref="N25">IF(M25,"",K25-_xlfn.XLOOKUP(J25,$J$11:J25,$K$11:K25,,,1))</f>
        <v>0.29166741898370674</v>
      </c>
      <c r="O25" s="68">
        <f t="shared" si="5"/>
        <v>44573</v>
      </c>
      <c r="P25" s="67">
        <f t="shared" si="6"/>
        <v>0.70833408564794809</v>
      </c>
      <c r="Q25" s="74">
        <f t="shared" si="7"/>
        <v>0.29166741898370674</v>
      </c>
      <c r="R25" s="8" t="str">
        <f t="shared" si="1"/>
        <v>OUT</v>
      </c>
    </row>
    <row r="26" spans="3:18">
      <c r="J26" s="8" t="s">
        <v>31</v>
      </c>
      <c r="K26" s="66">
        <v>44573.729167476849</v>
      </c>
      <c r="L26" s="8">
        <f>COUNTIFS($J$11:J26,J26)</f>
        <v>2</v>
      </c>
      <c r="M26" s="8" t="b" cm="1">
        <f t="array" ref="M26">_xlfn.XOR(J26=$J$11:J26)</f>
        <v>0</v>
      </c>
      <c r="N26" s="74" cm="1">
        <f t="array" ref="N26">IF(M26,"",K26-_xlfn.XLOOKUP(J26,$J$11:J26,$K$11:K26,,,1))</f>
        <v>0.29166747684939764</v>
      </c>
      <c r="O26" s="68">
        <f t="shared" si="5"/>
        <v>44573</v>
      </c>
      <c r="P26" s="67">
        <f t="shared" si="6"/>
        <v>0.72916747684939764</v>
      </c>
      <c r="Q26" s="74">
        <f t="shared" si="7"/>
        <v>0.29166747684939764</v>
      </c>
      <c r="R26" s="8" t="str">
        <f t="shared" si="1"/>
        <v>OUT</v>
      </c>
    </row>
    <row r="27" spans="3:18">
      <c r="J27" s="8" t="s">
        <v>38</v>
      </c>
      <c r="K27" s="66">
        <v>44573.750000868058</v>
      </c>
      <c r="L27" s="8">
        <f>COUNTIFS($J$11:J27,J27)</f>
        <v>2</v>
      </c>
      <c r="M27" s="8" t="b" cm="1">
        <f t="array" ref="M27">_xlfn.XOR(J27=$J$11:J27)</f>
        <v>0</v>
      </c>
      <c r="N27" s="74" cm="1">
        <f t="array" ref="N27">IF(M27,"",K27-_xlfn.XLOOKUP(J27,$J$11:J27,$K$11:K27,,,1))</f>
        <v>0.2916674768566736</v>
      </c>
      <c r="O27" s="68">
        <f t="shared" si="5"/>
        <v>44573</v>
      </c>
      <c r="P27" s="67">
        <f t="shared" si="6"/>
        <v>0.75000086805812316</v>
      </c>
      <c r="Q27" s="74">
        <f t="shared" si="7"/>
        <v>0.2916674768566736</v>
      </c>
      <c r="R27" s="8" t="str">
        <f t="shared" si="1"/>
        <v>OUT</v>
      </c>
    </row>
    <row r="28" spans="3:18">
      <c r="J28" s="8" t="s">
        <v>29</v>
      </c>
      <c r="K28" s="66">
        <v>44573.770834317133</v>
      </c>
      <c r="L28" s="8">
        <f>COUNTIFS($J$11:J28,J28)</f>
        <v>2</v>
      </c>
      <c r="M28" s="8" t="b" cm="1">
        <f t="array" ref="M28">_xlfn.XOR(J28=$J$11:J28)</f>
        <v>0</v>
      </c>
      <c r="N28" s="74" cm="1">
        <f t="array" ref="N28">IF(M28,"",K28-_xlfn.XLOOKUP(J28,$J$11:J28,$K$11:K28,,,1))</f>
        <v>0.20833396990929032</v>
      </c>
      <c r="O28" s="68">
        <f t="shared" si="5"/>
        <v>44573</v>
      </c>
      <c r="P28" s="67">
        <f t="shared" si="6"/>
        <v>0.77083431713253958</v>
      </c>
      <c r="Q28" s="74">
        <f t="shared" si="7"/>
        <v>0.20833396990929032</v>
      </c>
      <c r="R28" s="8" t="str">
        <f t="shared" si="1"/>
        <v>OUT</v>
      </c>
    </row>
    <row r="29" spans="3:18">
      <c r="J29" s="8" t="s">
        <v>30</v>
      </c>
      <c r="K29" s="66">
        <v>44573.791667766207</v>
      </c>
      <c r="L29" s="8">
        <f>COUNTIFS($J$11:J29,J29)</f>
        <v>2</v>
      </c>
      <c r="M29" s="8" t="b" cm="1">
        <f t="array" ref="M29">_xlfn.XOR(J29=$J$11:J29)</f>
        <v>0</v>
      </c>
      <c r="N29" s="74" cm="1">
        <f t="array" ref="N29">IF(M29,"",K29-_xlfn.XLOOKUP(J29,$J$11:J29,$K$11:K29,,,1))</f>
        <v>0.2500008101851563</v>
      </c>
      <c r="O29" s="68">
        <f t="shared" si="5"/>
        <v>44573</v>
      </c>
      <c r="P29" s="67">
        <f t="shared" si="6"/>
        <v>0.791667766206956</v>
      </c>
      <c r="Q29" s="74">
        <f t="shared" si="7"/>
        <v>0.2500008101851563</v>
      </c>
      <c r="R29" s="8" t="str">
        <f t="shared" si="1"/>
        <v>OUT</v>
      </c>
    </row>
    <row r="30" spans="3:18">
      <c r="J30" s="8" t="s">
        <v>32</v>
      </c>
      <c r="K30" s="66">
        <v>44573.812501215281</v>
      </c>
      <c r="L30" s="8">
        <f>COUNTIFS($J$11:J30,J30)</f>
        <v>2</v>
      </c>
      <c r="M30" s="8" t="b" cm="1">
        <f t="array" ref="M30">_xlfn.XOR(J30=$J$11:J30)</f>
        <v>0</v>
      </c>
      <c r="N30" s="74" cm="1">
        <f t="array" ref="N30">IF(M30,"",K30-_xlfn.XLOOKUP(J30,$J$11:J30,$K$11:K30,,,1))</f>
        <v>0.33333443287119735</v>
      </c>
      <c r="O30" s="68">
        <f t="shared" si="5"/>
        <v>44573</v>
      </c>
      <c r="P30" s="67">
        <f t="shared" si="6"/>
        <v>0.81250121528137242</v>
      </c>
      <c r="Q30" s="74">
        <f t="shared" si="7"/>
        <v>0.33333443287119735</v>
      </c>
      <c r="R30" s="8" t="str">
        <f t="shared" si="1"/>
        <v>OUT</v>
      </c>
    </row>
    <row r="31" spans="3:18">
      <c r="J31" s="8" t="s">
        <v>35</v>
      </c>
      <c r="K31" s="66">
        <v>44574.402777777781</v>
      </c>
      <c r="L31" s="8">
        <f>COUNTIFS($J$11:J31,J31)</f>
        <v>3</v>
      </c>
      <c r="M31" s="8" t="b" cm="1">
        <f t="array" ref="M31">_xlfn.XOR(J31=$J$11:J31)</f>
        <v>1</v>
      </c>
      <c r="N31" s="74" t="str" cm="1">
        <f t="array" ref="N31">IF(M31,"",K31-_xlfn.XLOOKUP(J31,$J$11:J31,$K$11:K31,,,1))</f>
        <v/>
      </c>
      <c r="O31" s="68">
        <f t="shared" si="5"/>
        <v>44574</v>
      </c>
      <c r="P31" s="67">
        <f t="shared" si="6"/>
        <v>0.40277777778101154</v>
      </c>
      <c r="Q31" s="74" t="str">
        <f t="shared" si="7"/>
        <v/>
      </c>
      <c r="R31" s="8" t="str">
        <f t="shared" si="1"/>
        <v>IN</v>
      </c>
    </row>
    <row r="32" spans="3:18">
      <c r="J32" s="8" t="s">
        <v>36</v>
      </c>
      <c r="K32" s="66">
        <v>44574.416666666664</v>
      </c>
      <c r="L32" s="8">
        <f>COUNTIFS($J$11:J32,J32)</f>
        <v>3</v>
      </c>
      <c r="M32" s="8" t="b" cm="1">
        <f t="array" ref="M32">_xlfn.XOR(J32=$J$11:J32)</f>
        <v>1</v>
      </c>
      <c r="N32" s="74" t="str" cm="1">
        <f t="array" ref="N32">IF(M32,"",K32-_xlfn.XLOOKUP(J32,$J$11:J32,$K$11:K32,,,1))</f>
        <v/>
      </c>
      <c r="O32" s="68">
        <f t="shared" si="5"/>
        <v>44574</v>
      </c>
      <c r="P32" s="67">
        <f t="shared" si="6"/>
        <v>0.41666666666424135</v>
      </c>
      <c r="Q32" s="74" t="str">
        <f t="shared" si="7"/>
        <v/>
      </c>
      <c r="R32" s="8" t="str">
        <f t="shared" si="1"/>
        <v>IN</v>
      </c>
    </row>
    <row r="33" spans="6:19">
      <c r="J33" s="8" t="s">
        <v>29</v>
      </c>
      <c r="K33" s="66">
        <v>44574.430555439816</v>
      </c>
      <c r="L33" s="8">
        <f>COUNTIFS($J$11:J33,J33)</f>
        <v>3</v>
      </c>
      <c r="M33" s="8" t="b" cm="1">
        <f t="array" ref="M33">_xlfn.XOR(J33=$J$11:J33)</f>
        <v>1</v>
      </c>
      <c r="N33" s="74" t="str" cm="1">
        <f t="array" ref="N33">IF(M33,"",K33-_xlfn.XLOOKUP(J33,$J$11:J33,$K$11:K33,,,1))</f>
        <v/>
      </c>
      <c r="O33" s="68">
        <f t="shared" si="5"/>
        <v>44574</v>
      </c>
      <c r="P33" s="67">
        <f t="shared" si="6"/>
        <v>0.43055543981608935</v>
      </c>
      <c r="Q33" s="74" t="str">
        <f t="shared" si="7"/>
        <v/>
      </c>
      <c r="R33" s="8" t="str">
        <f t="shared" si="1"/>
        <v>IN</v>
      </c>
    </row>
    <row r="34" spans="6:19">
      <c r="J34" s="8" t="s">
        <v>30</v>
      </c>
      <c r="K34" s="66">
        <v>44574.444444270834</v>
      </c>
      <c r="L34" s="8">
        <f>COUNTIFS($J$11:J34,J34)</f>
        <v>3</v>
      </c>
      <c r="M34" s="8" t="b" cm="1">
        <f t="array" ref="M34">_xlfn.XOR(J34=$J$11:J34)</f>
        <v>1</v>
      </c>
      <c r="N34" s="74" t="str" cm="1">
        <f t="array" ref="N34">IF(M34,"",K34-_xlfn.XLOOKUP(J34,$J$11:J34,$K$11:K34,,,1))</f>
        <v/>
      </c>
      <c r="O34" s="68">
        <f t="shared" si="5"/>
        <v>44574</v>
      </c>
      <c r="P34" s="67">
        <f t="shared" si="6"/>
        <v>0.44444427083362825</v>
      </c>
      <c r="Q34" s="74" t="str">
        <f t="shared" si="7"/>
        <v/>
      </c>
      <c r="R34" s="8" t="str">
        <f t="shared" si="1"/>
        <v>IN</v>
      </c>
    </row>
    <row r="35" spans="6:19">
      <c r="J35" s="8" t="s">
        <v>37</v>
      </c>
      <c r="K35" s="66">
        <v>44574.458333101851</v>
      </c>
      <c r="L35" s="8">
        <f>COUNTIFS($J$11:J35,J35)</f>
        <v>3</v>
      </c>
      <c r="M35" s="8" t="b" cm="1">
        <f t="array" ref="M35">_xlfn.XOR(J35=$J$11:J35)</f>
        <v>1</v>
      </c>
      <c r="N35" s="74" t="str" cm="1">
        <f t="array" ref="N35">IF(M35,"",K35-_xlfn.XLOOKUP(J35,$J$11:J35,$K$11:K35,,,1))</f>
        <v/>
      </c>
      <c r="O35" s="68">
        <f t="shared" si="5"/>
        <v>44574</v>
      </c>
      <c r="P35" s="67">
        <f t="shared" si="6"/>
        <v>0.45833310185116716</v>
      </c>
      <c r="Q35" s="74" t="str">
        <f t="shared" si="7"/>
        <v/>
      </c>
      <c r="R35" s="8" t="str">
        <f t="shared" si="1"/>
        <v>IN</v>
      </c>
    </row>
    <row r="36" spans="6:19">
      <c r="J36" s="8" t="s">
        <v>34</v>
      </c>
      <c r="K36" s="66">
        <v>44574.472221932869</v>
      </c>
      <c r="L36" s="8">
        <f>COUNTIFS($J$11:J36,J36)</f>
        <v>3</v>
      </c>
      <c r="M36" s="8" t="b" cm="1">
        <f t="array" ref="M36">_xlfn.XOR(J36=$J$11:J36)</f>
        <v>1</v>
      </c>
      <c r="N36" s="74" t="str" cm="1">
        <f t="array" ref="N36">IF(M36,"",K36-_xlfn.XLOOKUP(J36,$J$11:J36,$K$11:K36,,,1))</f>
        <v/>
      </c>
      <c r="O36" s="68">
        <f t="shared" si="5"/>
        <v>44574</v>
      </c>
      <c r="P36" s="67">
        <f t="shared" si="6"/>
        <v>0.47222193286870606</v>
      </c>
      <c r="Q36" s="74" t="str">
        <f t="shared" si="7"/>
        <v/>
      </c>
      <c r="R36" s="8" t="str">
        <f t="shared" si="1"/>
        <v>IN</v>
      </c>
    </row>
    <row r="37" spans="6:19">
      <c r="J37" s="8" t="s">
        <v>32</v>
      </c>
      <c r="K37" s="66">
        <v>44574.486110763886</v>
      </c>
      <c r="L37" s="8">
        <f>COUNTIFS($J$11:J37,J37)</f>
        <v>3</v>
      </c>
      <c r="M37" s="8" t="b" cm="1">
        <f t="array" ref="M37">_xlfn.XOR(J37=$J$11:J37)</f>
        <v>1</v>
      </c>
      <c r="N37" s="74" t="str" cm="1">
        <f t="array" ref="N37">IF(M37,"",K37-_xlfn.XLOOKUP(J37,$J$11:J37,$K$11:K37,,,1))</f>
        <v/>
      </c>
      <c r="O37" s="68">
        <f t="shared" si="5"/>
        <v>44574</v>
      </c>
      <c r="P37" s="67">
        <f t="shared" si="6"/>
        <v>0.48611076388624497</v>
      </c>
      <c r="Q37" s="74" t="str">
        <f t="shared" si="7"/>
        <v/>
      </c>
      <c r="R37" s="8" t="str">
        <f t="shared" si="1"/>
        <v>IN</v>
      </c>
    </row>
    <row r="38" spans="6:19">
      <c r="J38" s="8" t="s">
        <v>38</v>
      </c>
      <c r="K38" s="66">
        <v>44574.499999594904</v>
      </c>
      <c r="L38" s="8">
        <f>COUNTIFS($J$11:J38,J38)</f>
        <v>3</v>
      </c>
      <c r="M38" s="8" t="b" cm="1">
        <f t="array" ref="M38">_xlfn.XOR(J38=$J$11:J38)</f>
        <v>1</v>
      </c>
      <c r="N38" s="74" t="str" cm="1">
        <f t="array" ref="N38">IF(M38,"",K38-_xlfn.XLOOKUP(J38,$J$11:J38,$K$11:K38,,,1))</f>
        <v/>
      </c>
      <c r="O38" s="68">
        <f t="shared" si="5"/>
        <v>44574</v>
      </c>
      <c r="P38" s="67">
        <f t="shared" si="6"/>
        <v>0.49999959490378387</v>
      </c>
      <c r="Q38" s="74" t="str">
        <f t="shared" si="7"/>
        <v/>
      </c>
      <c r="R38" s="8" t="str">
        <f t="shared" si="1"/>
        <v>IN</v>
      </c>
    </row>
    <row r="39" spans="6:19">
      <c r="J39" s="8" t="s">
        <v>31</v>
      </c>
      <c r="K39" s="66">
        <v>44574.513888425929</v>
      </c>
      <c r="L39" s="8">
        <f>COUNTIFS($J$11:J39,J39)</f>
        <v>3</v>
      </c>
      <c r="M39" s="8" t="b" cm="1">
        <f t="array" ref="M39">_xlfn.XOR(J39=$J$11:J39)</f>
        <v>1</v>
      </c>
      <c r="N39" s="74" t="str" cm="1">
        <f t="array" ref="N39">IF(M39,"",K39-_xlfn.XLOOKUP(J39,$J$11:J39,$K$11:K39,,,1))</f>
        <v/>
      </c>
      <c r="O39" s="68">
        <f t="shared" si="5"/>
        <v>44574</v>
      </c>
      <c r="P39" s="67">
        <f t="shared" si="6"/>
        <v>0.51388842592859874</v>
      </c>
      <c r="Q39" s="74" t="str">
        <f t="shared" si="7"/>
        <v/>
      </c>
      <c r="R39" s="8" t="str">
        <f t="shared" si="1"/>
        <v>IN</v>
      </c>
    </row>
    <row r="40" spans="6:19">
      <c r="J40" s="8" t="s">
        <v>33</v>
      </c>
      <c r="K40" s="66">
        <v>44574.527777256946</v>
      </c>
      <c r="L40" s="8">
        <f>COUNTIFS($J$11:J40,J40)</f>
        <v>3</v>
      </c>
      <c r="M40" s="8" t="b" cm="1">
        <f t="array" ref="M40">_xlfn.XOR(J40=$J$11:J40)</f>
        <v>1</v>
      </c>
      <c r="N40" s="74" t="str" cm="1">
        <f t="array" ref="N40">IF(M40,"",K40-_xlfn.XLOOKUP(J40,$J$11:J40,$K$11:K40,,,1))</f>
        <v/>
      </c>
      <c r="O40" s="68">
        <f t="shared" si="5"/>
        <v>44574</v>
      </c>
      <c r="P40" s="67">
        <f t="shared" si="6"/>
        <v>0.52777725694613764</v>
      </c>
      <c r="Q40" s="74" t="str">
        <f t="shared" si="7"/>
        <v/>
      </c>
      <c r="R40" s="8" t="str">
        <f t="shared" si="1"/>
        <v>IN</v>
      </c>
    </row>
    <row r="41" spans="6:19">
      <c r="F41" s="72"/>
      <c r="J41" s="8" t="s">
        <v>35</v>
      </c>
      <c r="K41" s="66">
        <v>44574.666666666664</v>
      </c>
      <c r="L41" s="8">
        <f>COUNTIFS($J$11:J41,J41)</f>
        <v>4</v>
      </c>
      <c r="M41" s="8" t="b" cm="1">
        <f t="array" ref="M41">_xlfn.XOR(J41=$J$11:J41)</f>
        <v>0</v>
      </c>
      <c r="N41" s="74" cm="1">
        <f t="array" ref="N41">IF(M41,"",K41-_xlfn.XLOOKUP(J41,$J$11:J41,$K$11:K41,,,1))</f>
        <v>1.062499537038093</v>
      </c>
      <c r="O41" s="68">
        <f t="shared" si="5"/>
        <v>44574</v>
      </c>
      <c r="P41" s="67">
        <f t="shared" si="6"/>
        <v>0.66666666666424135</v>
      </c>
      <c r="Q41" s="74">
        <f t="shared" si="7"/>
        <v>0.26388888888322981</v>
      </c>
      <c r="R41" s="8" t="str">
        <f t="shared" si="1"/>
        <v>OUT</v>
      </c>
      <c r="S41" s="72"/>
    </row>
    <row r="42" spans="6:19">
      <c r="F42" s="72"/>
      <c r="J42" s="8" t="s">
        <v>36</v>
      </c>
      <c r="K42" s="66">
        <v>44574.680555555555</v>
      </c>
      <c r="L42" s="8">
        <f>COUNTIFS($J$11:J42,J42)</f>
        <v>4</v>
      </c>
      <c r="M42" s="8" t="b" cm="1">
        <f t="array" ref="M42">_xlfn.XOR(J42=$J$11:J42)</f>
        <v>0</v>
      </c>
      <c r="N42" s="74" cm="1">
        <f t="array" ref="N42">IF(M42,"",K42-_xlfn.XLOOKUP(J42,$J$11:J42,$K$11:K42,,,1))</f>
        <v>1.0972218171300483</v>
      </c>
      <c r="O42" s="68">
        <f t="shared" ref="O42:O50" si="8">ROUNDDOWN(K42,0)</f>
        <v>44574</v>
      </c>
      <c r="P42" s="67">
        <f t="shared" si="6"/>
        <v>0.68055555555474712</v>
      </c>
      <c r="Q42" s="74">
        <f t="shared" si="7"/>
        <v>0.26388888889050577</v>
      </c>
      <c r="R42" s="8" t="str">
        <f t="shared" ref="R42:R50" si="9">IF(M42,"IN","OUT")</f>
        <v>OUT</v>
      </c>
    </row>
    <row r="43" spans="6:19">
      <c r="J43" s="8" t="s">
        <v>34</v>
      </c>
      <c r="K43" s="66">
        <v>44574.694444386572</v>
      </c>
      <c r="L43" s="8">
        <f>COUNTIFS($J$11:J43,J43)</f>
        <v>4</v>
      </c>
      <c r="M43" s="8" t="b" cm="1">
        <f t="array" ref="M43">_xlfn.XOR(J43=$J$11:J43)</f>
        <v>0</v>
      </c>
      <c r="N43" s="74" cm="1">
        <f t="array" ref="N43">IF(M43,"",K43-_xlfn.XLOOKUP(J43,$J$11:J43,$K$11:K43,,,1))</f>
        <v>1.1944442129606614</v>
      </c>
      <c r="O43" s="68">
        <f t="shared" si="8"/>
        <v>44574</v>
      </c>
      <c r="P43" s="67">
        <f t="shared" si="6"/>
        <v>0.69444438657228602</v>
      </c>
      <c r="Q43" s="74">
        <f t="shared" si="7"/>
        <v>0.22222245370357996</v>
      </c>
      <c r="R43" s="8" t="str">
        <f t="shared" si="9"/>
        <v>OUT</v>
      </c>
    </row>
    <row r="44" spans="6:19">
      <c r="J44" s="8" t="s">
        <v>30</v>
      </c>
      <c r="K44" s="66">
        <v>44574.708333275463</v>
      </c>
      <c r="L44" s="8">
        <f>COUNTIFS($J$11:J44,J44)</f>
        <v>4</v>
      </c>
      <c r="M44" s="8" t="b" cm="1">
        <f t="array" ref="M44">_xlfn.XOR(J44=$J$11:J44)</f>
        <v>0</v>
      </c>
      <c r="N44" s="74" cm="1">
        <f t="array" ref="N44">IF(M44,"",K44-_xlfn.XLOOKUP(J44,$J$11:J44,$K$11:K44,,,1))</f>
        <v>1.1666663194409921</v>
      </c>
      <c r="O44" s="68">
        <f t="shared" si="8"/>
        <v>44574</v>
      </c>
      <c r="P44" s="67">
        <f t="shared" si="6"/>
        <v>0.70833327546279179</v>
      </c>
      <c r="Q44" s="74">
        <f t="shared" si="7"/>
        <v>0.26388900462916354</v>
      </c>
      <c r="R44" s="8" t="str">
        <f t="shared" si="9"/>
        <v>OUT</v>
      </c>
    </row>
    <row r="45" spans="6:19">
      <c r="J45" s="8" t="s">
        <v>37</v>
      </c>
      <c r="K45" s="66">
        <v>44574.722222164353</v>
      </c>
      <c r="L45" s="8">
        <f>COUNTIFS($J$11:J45,J45)</f>
        <v>4</v>
      </c>
      <c r="M45" s="8" t="b" cm="1">
        <f t="array" ref="M45">_xlfn.XOR(J45=$J$11:J45)</f>
        <v>0</v>
      </c>
      <c r="N45" s="74" cm="1">
        <f t="array" ref="N45">IF(M45,"",K45-_xlfn.XLOOKUP(J45,$J$11:J45,$K$11:K45,,,1))</f>
        <v>1.2013885995402234</v>
      </c>
      <c r="O45" s="68">
        <f t="shared" si="8"/>
        <v>44574</v>
      </c>
      <c r="P45" s="67">
        <f t="shared" si="6"/>
        <v>0.72222216435329756</v>
      </c>
      <c r="Q45" s="74">
        <f t="shared" si="7"/>
        <v>0.2638890625021304</v>
      </c>
      <c r="R45" s="8" t="str">
        <f t="shared" si="9"/>
        <v>OUT</v>
      </c>
    </row>
    <row r="46" spans="6:19">
      <c r="J46" s="8" t="s">
        <v>29</v>
      </c>
      <c r="K46" s="66">
        <v>44574.736111053244</v>
      </c>
      <c r="L46" s="8">
        <f>COUNTIFS($J$11:J46,J46)</f>
        <v>4</v>
      </c>
      <c r="M46" s="8" t="b" cm="1">
        <f t="array" ref="M46">_xlfn.XOR(J46=$J$11:J46)</f>
        <v>0</v>
      </c>
      <c r="N46" s="74" cm="1">
        <f t="array" ref="N46">IF(M46,"",K46-_xlfn.XLOOKUP(J46,$J$11:J46,$K$11:K46,,,1))</f>
        <v>1.1736107060205541</v>
      </c>
      <c r="O46" s="68">
        <f t="shared" si="8"/>
        <v>44574</v>
      </c>
      <c r="P46" s="67">
        <f t="shared" si="6"/>
        <v>0.73611105324380333</v>
      </c>
      <c r="Q46" s="74">
        <f t="shared" si="7"/>
        <v>0.30555561342771398</v>
      </c>
      <c r="R46" s="8" t="str">
        <f t="shared" si="9"/>
        <v>OUT</v>
      </c>
    </row>
    <row r="47" spans="6:19">
      <c r="J47" s="8" t="s">
        <v>38</v>
      </c>
      <c r="K47" s="66">
        <v>44574.749999942127</v>
      </c>
      <c r="L47" s="8">
        <f>COUNTIFS($J$11:J47,J47)</f>
        <v>4</v>
      </c>
      <c r="M47" s="8" t="b" cm="1">
        <f t="array" ref="M47">_xlfn.XOR(J47=$J$11:J47)</f>
        <v>0</v>
      </c>
      <c r="N47" s="74" cm="1">
        <f t="array" ref="N47">IF(M47,"",K47-_xlfn.XLOOKUP(J47,$J$11:J47,$K$11:K47,,,1))</f>
        <v>1.2916665509255836</v>
      </c>
      <c r="O47" s="68">
        <f t="shared" si="8"/>
        <v>44574</v>
      </c>
      <c r="P47" s="67">
        <f t="shared" si="6"/>
        <v>0.74999994212703314</v>
      </c>
      <c r="Q47" s="74">
        <f t="shared" si="7"/>
        <v>0.25000034722324926</v>
      </c>
      <c r="R47" s="8" t="str">
        <f t="shared" si="9"/>
        <v>OUT</v>
      </c>
    </row>
    <row r="48" spans="6:19">
      <c r="J48" s="8" t="s">
        <v>33</v>
      </c>
      <c r="K48" s="66">
        <v>44574.763888831018</v>
      </c>
      <c r="L48" s="8">
        <f>COUNTIFS($J$11:J48,J48)</f>
        <v>4</v>
      </c>
      <c r="M48" s="8" t="b" cm="1">
        <f t="array" ref="M48">_xlfn.XOR(J48=$J$11:J48)</f>
        <v>0</v>
      </c>
      <c r="N48" s="74" cm="1">
        <f t="array" ref="N48">IF(M48,"",K48-_xlfn.XLOOKUP(J48,$J$11:J48,$K$11:K48,,,1))</f>
        <v>1.3472221643532976</v>
      </c>
      <c r="O48" s="68">
        <f t="shared" si="8"/>
        <v>44574</v>
      </c>
      <c r="P48" s="67">
        <f t="shared" si="6"/>
        <v>0.76388883101753891</v>
      </c>
      <c r="Q48" s="74">
        <f t="shared" si="7"/>
        <v>0.23611157407140126</v>
      </c>
      <c r="R48" s="8" t="str">
        <f t="shared" si="9"/>
        <v>OUT</v>
      </c>
    </row>
    <row r="49" spans="10:18">
      <c r="J49" s="8" t="s">
        <v>31</v>
      </c>
      <c r="K49" s="66">
        <v>44574.777777719908</v>
      </c>
      <c r="L49" s="8">
        <f>COUNTIFS($J$11:J49,J49)</f>
        <v>4</v>
      </c>
      <c r="M49" s="8" t="b" cm="1">
        <f t="array" ref="M49">_xlfn.XOR(J49=$J$11:J49)</f>
        <v>0</v>
      </c>
      <c r="N49" s="74" cm="1">
        <f t="array" ref="N49">IF(M49,"",K49-_xlfn.XLOOKUP(J49,$J$11:J49,$K$11:K49,,,1))</f>
        <v>1.3402777199080447</v>
      </c>
      <c r="O49" s="68">
        <f t="shared" si="8"/>
        <v>44574</v>
      </c>
      <c r="P49" s="67">
        <f t="shared" si="6"/>
        <v>0.77777771990804467</v>
      </c>
      <c r="Q49" s="74">
        <f t="shared" si="7"/>
        <v>0.26388929397944594</v>
      </c>
      <c r="R49" s="8" t="str">
        <f t="shared" si="9"/>
        <v>OUT</v>
      </c>
    </row>
    <row r="50" spans="10:18">
      <c r="J50" s="8" t="s">
        <v>32</v>
      </c>
      <c r="K50" s="66">
        <v>44574.791666608799</v>
      </c>
      <c r="L50" s="8">
        <f>COUNTIFS($J$11:J50,J50)</f>
        <v>4</v>
      </c>
      <c r="M50" s="8" t="b" cm="1">
        <f t="array" ref="M50">_xlfn.XOR(J50=$J$11:J50)</f>
        <v>0</v>
      </c>
      <c r="N50" s="74" cm="1">
        <f t="array" ref="N50">IF(M50,"",K50-_xlfn.XLOOKUP(J50,$J$11:J50,$K$11:K50,,,1))</f>
        <v>1.3124998263883754</v>
      </c>
      <c r="O50" s="68">
        <f t="shared" si="8"/>
        <v>44574</v>
      </c>
      <c r="P50" s="67">
        <f t="shared" si="6"/>
        <v>0.79166660879855044</v>
      </c>
      <c r="Q50" s="74">
        <f t="shared" si="7"/>
        <v>0.30555584491230547</v>
      </c>
      <c r="R50" s="8" t="str">
        <f t="shared" si="9"/>
        <v>OUT</v>
      </c>
    </row>
    <row r="51" spans="10:18">
      <c r="K51" s="66"/>
      <c r="L51" s="8"/>
      <c r="M51" s="8"/>
      <c r="N51" s="8"/>
      <c r="O51" s="68"/>
      <c r="P51" s="67"/>
      <c r="Q51" s="8"/>
    </row>
    <row r="52" spans="10:18">
      <c r="K52" s="66"/>
      <c r="L52" s="8"/>
      <c r="M52" s="8"/>
      <c r="N52" s="8"/>
      <c r="O52" s="68"/>
      <c r="P52" s="67"/>
      <c r="Q52" s="8"/>
    </row>
    <row r="53" spans="10:18">
      <c r="K53" s="66"/>
      <c r="L53" s="8"/>
      <c r="M53" s="8"/>
      <c r="N53" s="8"/>
      <c r="O53" s="68"/>
      <c r="P53" s="67"/>
      <c r="Q53" s="8"/>
    </row>
    <row r="54" spans="10:18">
      <c r="K54" s="66"/>
      <c r="L54" s="8"/>
      <c r="M54" s="8"/>
      <c r="N54" s="8"/>
      <c r="O54" s="68"/>
      <c r="P54" s="67"/>
      <c r="Q54" s="8"/>
    </row>
    <row r="55" spans="10:18">
      <c r="K55" s="66"/>
      <c r="L55" s="8"/>
      <c r="M55" s="8"/>
      <c r="N55" s="8"/>
      <c r="O55" s="68"/>
      <c r="P55" s="67"/>
      <c r="Q55" s="8"/>
    </row>
    <row r="56" spans="10:18">
      <c r="K56" s="66"/>
      <c r="L56" s="8"/>
      <c r="M56" s="8"/>
      <c r="N56" s="8"/>
      <c r="O56" s="68"/>
      <c r="P56" s="67"/>
      <c r="Q56" s="8"/>
    </row>
    <row r="57" spans="10:18">
      <c r="K57" s="66"/>
      <c r="L57" s="8"/>
      <c r="M57" s="8"/>
      <c r="N57" s="8"/>
      <c r="O57" s="68"/>
      <c r="P57" s="67"/>
      <c r="Q57" s="8"/>
    </row>
    <row r="58" spans="10:18">
      <c r="K58" s="66"/>
      <c r="L58" s="8"/>
      <c r="M58" s="8"/>
      <c r="N58" s="8"/>
      <c r="O58" s="68"/>
      <c r="P58" s="67"/>
      <c r="Q58" s="8"/>
    </row>
    <row r="59" spans="10:18">
      <c r="K59" s="66"/>
      <c r="L59" s="8"/>
      <c r="M59" s="8"/>
      <c r="N59" s="8"/>
      <c r="O59" s="68"/>
      <c r="P59" s="67"/>
      <c r="Q59" s="8"/>
    </row>
    <row r="60" spans="10:18">
      <c r="K60" s="66"/>
      <c r="L60" s="8"/>
      <c r="M60" s="8"/>
      <c r="N60" s="8"/>
      <c r="O60" s="68"/>
      <c r="P60" s="67"/>
      <c r="Q60" s="8"/>
    </row>
    <row r="61" spans="10:18">
      <c r="K61" s="66"/>
      <c r="L61" s="8"/>
      <c r="M61" s="8"/>
      <c r="N61" s="8"/>
      <c r="O61" s="68"/>
      <c r="P61" s="67"/>
      <c r="Q61" s="8"/>
    </row>
    <row r="62" spans="10:18">
      <c r="K62" s="66"/>
      <c r="L62" s="8"/>
      <c r="M62" s="8"/>
      <c r="N62" s="8"/>
      <c r="O62" s="68"/>
      <c r="P62" s="67"/>
      <c r="Q62" s="8"/>
    </row>
    <row r="63" spans="10:18">
      <c r="K63" s="66"/>
      <c r="L63" s="8"/>
      <c r="M63" s="8"/>
      <c r="N63" s="8"/>
      <c r="O63" s="68"/>
      <c r="P63" s="67"/>
      <c r="Q63" s="8"/>
    </row>
    <row r="64" spans="10:18">
      <c r="K64" s="66"/>
      <c r="L64" s="8"/>
      <c r="M64" s="8"/>
      <c r="N64" s="8"/>
      <c r="O64" s="68"/>
      <c r="P64" s="67"/>
      <c r="Q64" s="8"/>
    </row>
    <row r="65" spans="11:17">
      <c r="K65" s="66"/>
      <c r="L65" s="8"/>
      <c r="M65" s="8"/>
      <c r="N65" s="8"/>
      <c r="O65" s="68"/>
      <c r="P65" s="67"/>
      <c r="Q65" s="8"/>
    </row>
  </sheetData>
  <sortState xmlns:xlrd2="http://schemas.microsoft.com/office/spreadsheetml/2017/richdata2" ref="T11:T20">
    <sortCondition descending="1" ref="T11:T20"/>
  </sortState>
  <mergeCells count="2">
    <mergeCell ref="B2:E6"/>
    <mergeCell ref="G2:L6"/>
  </mergeCells>
  <conditionalFormatting sqref="C11:G16">
    <cfRule type="cellIs" dxfId="3" priority="3" operator="equal">
      <formula>FALSE</formula>
    </cfRule>
    <cfRule type="cellIs" dxfId="2" priority="4" operator="equal">
      <formula>TRUE</formula>
    </cfRule>
  </conditionalFormatting>
  <conditionalFormatting sqref="H11:H16">
    <cfRule type="cellIs" dxfId="1" priority="1" operator="equal">
      <formula>FALSE</formula>
    </cfRule>
    <cfRule type="cellIs" dxfId="0" priority="2" operator="equal">
      <formula>TRUE</formula>
    </cfRule>
  </conditionalFormatting>
  <hyperlinks>
    <hyperlink ref="N2" location="'About and Summary'!A1" display="Home" xr:uid="{1CDBB60F-4D4B-423C-890C-AA862FB2E683}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619BF-860E-4346-8D9F-029D2C036374}">
  <dimension ref="A1:P44"/>
  <sheetViews>
    <sheetView showGridLines="0" topLeftCell="A6" zoomScaleNormal="100" workbookViewId="0">
      <selection activeCell="C21" sqref="C21"/>
    </sheetView>
  </sheetViews>
  <sheetFormatPr defaultColWidth="8.85546875" defaultRowHeight="12.75"/>
  <cols>
    <col min="1" max="2" width="8.85546875" style="1"/>
    <col min="3" max="3" width="19.28515625" style="1" bestFit="1" customWidth="1"/>
    <col min="4" max="4" width="2.7109375" style="1" customWidth="1"/>
    <col min="5" max="5" width="21.85546875" style="1" bestFit="1" customWidth="1"/>
    <col min="6" max="6" width="10.140625" style="1" bestFit="1" customWidth="1"/>
    <col min="7" max="10" width="10.5703125" style="1" bestFit="1" customWidth="1"/>
    <col min="11" max="13" width="8.85546875" style="1"/>
    <col min="14" max="14" width="7.28515625" style="1" bestFit="1" customWidth="1"/>
    <col min="15" max="18" width="9.28515625" style="1" bestFit="1" customWidth="1"/>
    <col min="19" max="19" width="9.28515625" style="1" customWidth="1"/>
    <col min="20" max="16384" width="8.85546875" style="1"/>
  </cols>
  <sheetData>
    <row r="1" spans="1:16" s="29" customFormat="1" ht="13.5" thickBot="1">
      <c r="A1" s="28" t="s">
        <v>12</v>
      </c>
    </row>
    <row r="2" spans="1:16" s="2" customFormat="1" ht="13.5" thickTop="1">
      <c r="B2" s="99" t="s">
        <v>8</v>
      </c>
      <c r="C2" s="99"/>
      <c r="D2" s="99"/>
      <c r="E2" s="99"/>
      <c r="F2" s="99"/>
      <c r="G2" s="100" t="s">
        <v>12</v>
      </c>
      <c r="H2" s="100"/>
      <c r="I2" s="100"/>
      <c r="J2" s="100"/>
      <c r="K2" s="100"/>
      <c r="L2" s="100"/>
      <c r="M2" s="100"/>
      <c r="N2" s="100"/>
      <c r="P2" s="15" t="s">
        <v>88</v>
      </c>
    </row>
    <row r="3" spans="1:16" s="2" customFormat="1">
      <c r="B3" s="99"/>
      <c r="C3" s="99"/>
      <c r="D3" s="99"/>
      <c r="E3" s="99"/>
      <c r="F3" s="99"/>
      <c r="G3" s="100"/>
      <c r="H3" s="100"/>
      <c r="I3" s="100"/>
      <c r="J3" s="100"/>
      <c r="K3" s="100"/>
      <c r="L3" s="100"/>
      <c r="M3" s="100"/>
      <c r="N3" s="100"/>
    </row>
    <row r="4" spans="1:16" s="2" customFormat="1">
      <c r="B4" s="99"/>
      <c r="C4" s="99"/>
      <c r="D4" s="99"/>
      <c r="E4" s="99"/>
      <c r="F4" s="99"/>
      <c r="G4" s="100"/>
      <c r="H4" s="100"/>
      <c r="I4" s="100"/>
      <c r="J4" s="100"/>
      <c r="K4" s="100"/>
      <c r="L4" s="100"/>
      <c r="M4" s="100"/>
      <c r="N4" s="100"/>
    </row>
    <row r="5" spans="1:16" s="2" customFormat="1">
      <c r="B5" s="99"/>
      <c r="C5" s="99"/>
      <c r="D5" s="99"/>
      <c r="E5" s="99"/>
      <c r="F5" s="99"/>
      <c r="G5" s="100"/>
      <c r="H5" s="100"/>
      <c r="I5" s="100"/>
      <c r="J5" s="100"/>
      <c r="K5" s="100"/>
      <c r="L5" s="100"/>
      <c r="M5" s="100"/>
      <c r="N5" s="100"/>
    </row>
    <row r="6" spans="1:16" s="2" customFormat="1">
      <c r="B6" s="99"/>
      <c r="C6" s="99"/>
      <c r="D6" s="99"/>
      <c r="E6" s="99"/>
      <c r="F6" s="99"/>
      <c r="G6" s="100"/>
      <c r="H6" s="100"/>
      <c r="I6" s="100"/>
      <c r="J6" s="100"/>
      <c r="K6" s="100"/>
      <c r="L6" s="100"/>
      <c r="M6" s="100"/>
      <c r="N6" s="100"/>
    </row>
    <row r="21" spans="3:15">
      <c r="C21" s="3" t="s">
        <v>60</v>
      </c>
      <c r="D21" s="4"/>
      <c r="E21" s="3" t="s">
        <v>61</v>
      </c>
      <c r="F21" s="4"/>
      <c r="G21" s="3" t="s">
        <v>62</v>
      </c>
      <c r="H21" s="4"/>
      <c r="I21" s="4"/>
      <c r="J21" s="4"/>
      <c r="K21" s="4"/>
      <c r="L21" s="4"/>
      <c r="M21" s="4"/>
      <c r="N21" s="4"/>
      <c r="O21" s="4"/>
    </row>
    <row r="22" spans="3:15">
      <c r="C22" s="4" t="s">
        <v>23</v>
      </c>
      <c r="D22" s="4"/>
      <c r="E22" s="4" t="s">
        <v>42</v>
      </c>
      <c r="F22" s="4"/>
      <c r="G22" s="97" t="str" cm="1">
        <f t="array" ref="G22:G25">_xlfn._xlws.FILTER(C22:C43,ISNA(_xlfn.XMATCH(C22:C43,E22:E39)))</f>
        <v>SalsicciaFriarielli</v>
      </c>
      <c r="H22" s="4"/>
      <c r="I22" s="4"/>
      <c r="J22" s="4" t="str">
        <f ca="1">_xlfn.FORMULATEXT(G22)</f>
        <v>=FILTER(C22:C43,ISNA(XMATCH(C22:C43,E22:E39)))</v>
      </c>
      <c r="K22" s="4"/>
      <c r="L22" s="4"/>
      <c r="M22" s="4"/>
      <c r="N22" s="4"/>
      <c r="O22" s="4"/>
    </row>
    <row r="23" spans="3:15">
      <c r="C23" s="4" t="s">
        <v>39</v>
      </c>
      <c r="D23" s="4"/>
      <c r="E23" s="4" t="s">
        <v>50</v>
      </c>
      <c r="F23" s="4"/>
      <c r="G23" s="4" t="str">
        <v>Zucchine e pancetta</v>
      </c>
      <c r="H23" s="4"/>
      <c r="I23" s="4"/>
      <c r="J23" s="4"/>
      <c r="K23" s="4"/>
      <c r="L23" s="4"/>
      <c r="M23" s="4"/>
      <c r="N23" s="4"/>
      <c r="O23" s="4"/>
    </row>
    <row r="24" spans="3:15">
      <c r="C24" s="4" t="s">
        <v>40</v>
      </c>
      <c r="D24" s="4"/>
      <c r="E24" s="4" t="s">
        <v>47</v>
      </c>
      <c r="F24" s="4"/>
      <c r="G24" s="4" t="str">
        <v>4formaggi</v>
      </c>
      <c r="H24" s="4"/>
      <c r="I24" s="4"/>
      <c r="J24" s="4"/>
      <c r="K24" s="4"/>
      <c r="L24" s="4"/>
      <c r="M24" s="4"/>
      <c r="N24" s="4"/>
      <c r="O24" s="4"/>
    </row>
    <row r="25" spans="3:15">
      <c r="C25" s="4" t="s">
        <v>41</v>
      </c>
      <c r="D25" s="4"/>
      <c r="E25" s="4" t="s">
        <v>46</v>
      </c>
      <c r="F25" s="4"/>
      <c r="G25" s="4" t="str">
        <v>Hawaii</v>
      </c>
      <c r="H25" s="4"/>
      <c r="I25" s="4"/>
      <c r="J25" s="4"/>
      <c r="K25" s="4"/>
      <c r="L25" s="4"/>
      <c r="M25" s="4"/>
      <c r="N25" s="4"/>
      <c r="O25" s="4"/>
    </row>
    <row r="26" spans="3:15">
      <c r="C26" s="4" t="s">
        <v>42</v>
      </c>
      <c r="D26" s="4"/>
      <c r="E26" s="4" t="s">
        <v>43</v>
      </c>
      <c r="F26" s="4"/>
      <c r="G26" s="4"/>
      <c r="H26" s="4"/>
      <c r="I26" s="4"/>
      <c r="J26" s="4" t="s">
        <v>204</v>
      </c>
      <c r="K26" s="4"/>
      <c r="L26" s="4"/>
      <c r="M26" s="4"/>
      <c r="N26" s="4"/>
      <c r="O26" s="4"/>
    </row>
    <row r="27" spans="3:15">
      <c r="C27" s="4" t="s">
        <v>43</v>
      </c>
      <c r="D27" s="4"/>
      <c r="E27" s="4" t="s">
        <v>56</v>
      </c>
      <c r="F27" s="4"/>
      <c r="G27"/>
      <c r="H27" s="4"/>
      <c r="I27" s="4"/>
      <c r="J27" s="4"/>
      <c r="K27" s="4"/>
      <c r="L27" s="4"/>
      <c r="M27" s="4"/>
      <c r="N27" s="4"/>
      <c r="O27" s="4"/>
    </row>
    <row r="28" spans="3:15">
      <c r="C28" s="4" t="s">
        <v>44</v>
      </c>
      <c r="D28" s="4"/>
      <c r="E28" s="4" t="s">
        <v>44</v>
      </c>
      <c r="F28" s="4"/>
      <c r="G28" s="4"/>
      <c r="H28" s="4"/>
      <c r="I28" s="4"/>
      <c r="J28" s="4"/>
      <c r="K28" s="4"/>
      <c r="L28" s="4"/>
      <c r="M28" s="4"/>
      <c r="N28" s="4"/>
      <c r="O28" s="4"/>
    </row>
    <row r="29" spans="3:15">
      <c r="C29" s="4" t="s">
        <v>45</v>
      </c>
      <c r="D29" s="4"/>
      <c r="E29" s="4" t="s">
        <v>23</v>
      </c>
      <c r="F29" s="4"/>
      <c r="G29" s="4"/>
      <c r="H29" s="4"/>
      <c r="I29" s="4"/>
      <c r="J29" s="4"/>
      <c r="K29" s="4"/>
      <c r="L29" s="4"/>
      <c r="M29" s="4"/>
      <c r="N29" s="4"/>
      <c r="O29" s="4"/>
    </row>
    <row r="30" spans="3:15">
      <c r="C30" s="4" t="s">
        <v>46</v>
      </c>
      <c r="D30" s="4"/>
      <c r="E30" s="4" t="s">
        <v>39</v>
      </c>
      <c r="F30" s="4"/>
      <c r="G30" s="4"/>
      <c r="H30" s="4"/>
      <c r="I30" s="4"/>
      <c r="J30" s="4"/>
      <c r="K30" s="4"/>
      <c r="L30" s="4"/>
      <c r="M30" s="4"/>
      <c r="N30" s="4"/>
      <c r="O30" s="4"/>
    </row>
    <row r="31" spans="3:15">
      <c r="C31" s="4" t="s">
        <v>47</v>
      </c>
      <c r="D31" s="4"/>
      <c r="E31" s="4" t="s">
        <v>40</v>
      </c>
      <c r="F31" s="4"/>
      <c r="G31" s="4"/>
      <c r="H31" s="4"/>
      <c r="I31" s="4"/>
      <c r="J31" s="4"/>
      <c r="K31" s="4"/>
      <c r="L31" s="4"/>
      <c r="M31" s="4"/>
      <c r="N31" s="4"/>
      <c r="O31" s="4"/>
    </row>
    <row r="32" spans="3:15">
      <c r="C32" s="4" t="s">
        <v>48</v>
      </c>
      <c r="D32" s="4"/>
      <c r="E32" s="4" t="s">
        <v>57</v>
      </c>
      <c r="F32" s="4"/>
      <c r="G32" s="4"/>
      <c r="H32" s="4"/>
      <c r="I32" s="4"/>
      <c r="J32" s="4"/>
      <c r="K32" s="4"/>
      <c r="L32" s="4"/>
      <c r="M32" s="4"/>
      <c r="N32" s="4"/>
      <c r="O32" s="4"/>
    </row>
    <row r="33" spans="3:15">
      <c r="C33" s="4" t="s">
        <v>49</v>
      </c>
      <c r="D33" s="4"/>
      <c r="E33" s="4" t="s">
        <v>48</v>
      </c>
      <c r="F33" s="4"/>
      <c r="G33" s="4"/>
      <c r="H33" s="4"/>
      <c r="I33" s="4"/>
      <c r="J33" s="4"/>
      <c r="K33" s="4"/>
      <c r="L33" s="4"/>
      <c r="M33" s="4"/>
      <c r="N33" s="4"/>
      <c r="O33" s="4"/>
    </row>
    <row r="34" spans="3:15">
      <c r="C34" s="4" t="s">
        <v>50</v>
      </c>
      <c r="D34" s="4"/>
      <c r="E34" s="4" t="s">
        <v>49</v>
      </c>
      <c r="F34" s="4"/>
      <c r="G34" s="4"/>
      <c r="H34" s="4"/>
      <c r="I34" s="4"/>
      <c r="J34" s="4"/>
      <c r="K34" s="4"/>
      <c r="L34" s="4"/>
      <c r="M34" s="4"/>
      <c r="N34" s="4"/>
      <c r="O34" s="4"/>
    </row>
    <row r="35" spans="3:15">
      <c r="C35" s="4" t="s">
        <v>51</v>
      </c>
      <c r="D35" s="4"/>
      <c r="E35" s="4" t="s">
        <v>54</v>
      </c>
      <c r="F35" s="4"/>
      <c r="G35" s="4"/>
      <c r="H35" s="4"/>
      <c r="I35" s="4"/>
      <c r="J35" s="4"/>
      <c r="K35" s="4"/>
      <c r="L35" s="4"/>
      <c r="M35" s="4"/>
      <c r="N35" s="4"/>
      <c r="O35" s="4"/>
    </row>
    <row r="36" spans="3:15">
      <c r="C36" s="4" t="s">
        <v>52</v>
      </c>
      <c r="D36" s="4"/>
      <c r="E36" s="4" t="s">
        <v>41</v>
      </c>
      <c r="F36" s="4"/>
      <c r="G36" s="4"/>
      <c r="H36" s="4"/>
      <c r="I36" s="4"/>
      <c r="J36" s="4"/>
      <c r="K36" s="4"/>
      <c r="L36" s="4"/>
      <c r="M36" s="4"/>
      <c r="N36" s="4"/>
      <c r="O36" s="4"/>
    </row>
    <row r="37" spans="3:15">
      <c r="C37" s="4" t="s">
        <v>53</v>
      </c>
      <c r="D37" s="4"/>
      <c r="E37" s="4" t="s">
        <v>53</v>
      </c>
      <c r="F37" s="4"/>
      <c r="G37" s="4"/>
      <c r="H37" s="4"/>
      <c r="I37" s="4"/>
      <c r="J37" s="4"/>
      <c r="K37" s="4"/>
      <c r="L37" s="4"/>
      <c r="M37" s="4"/>
      <c r="N37" s="4"/>
      <c r="O37" s="4"/>
    </row>
    <row r="38" spans="3:15">
      <c r="C38" s="4" t="s">
        <v>54</v>
      </c>
      <c r="D38" s="4"/>
      <c r="E38" s="4" t="s">
        <v>52</v>
      </c>
      <c r="F38" s="4"/>
      <c r="G38" s="4"/>
      <c r="H38" s="4"/>
      <c r="I38" s="4"/>
      <c r="J38" s="4"/>
      <c r="K38" s="4"/>
      <c r="L38" s="4"/>
      <c r="M38" s="4"/>
      <c r="N38" s="4"/>
      <c r="O38" s="4"/>
    </row>
    <row r="39" spans="3:15">
      <c r="C39" s="4" t="s">
        <v>55</v>
      </c>
      <c r="D39" s="4"/>
      <c r="E39" s="4" t="s">
        <v>58</v>
      </c>
      <c r="F39" s="4"/>
      <c r="G39" s="4"/>
      <c r="H39" s="4"/>
      <c r="I39" s="4"/>
      <c r="J39" s="4"/>
      <c r="K39" s="4"/>
      <c r="L39" s="4"/>
      <c r="M39" s="4"/>
      <c r="N39" s="4"/>
      <c r="O39" s="4"/>
    </row>
    <row r="40" spans="3:15">
      <c r="C40" s="4" t="s">
        <v>56</v>
      </c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</row>
    <row r="41" spans="3:15">
      <c r="C41" s="4" t="s">
        <v>57</v>
      </c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</row>
    <row r="42" spans="3:15">
      <c r="C42" s="4" t="s">
        <v>58</v>
      </c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</row>
    <row r="43" spans="3:15">
      <c r="C43" s="4" t="s">
        <v>59</v>
      </c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</row>
    <row r="44" spans="3:15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</row>
  </sheetData>
  <mergeCells count="2">
    <mergeCell ref="B2:F6"/>
    <mergeCell ref="G2:N6"/>
  </mergeCells>
  <hyperlinks>
    <hyperlink ref="P2" location="'About and Summary'!A1" display="Home" xr:uid="{E8E77084-99E9-4F46-A99C-3C6467B6FAD5}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B4F04-C6A1-4A57-837A-1D76FFAC210B}">
  <dimension ref="A1:R31"/>
  <sheetViews>
    <sheetView showGridLines="0" zoomScaleNormal="100" workbookViewId="0">
      <selection activeCell="N17" sqref="N17"/>
    </sheetView>
  </sheetViews>
  <sheetFormatPr defaultColWidth="8.85546875" defaultRowHeight="12.75"/>
  <cols>
    <col min="1" max="2" width="8.85546875" style="1"/>
    <col min="3" max="3" width="19.28515625" style="1" bestFit="1" customWidth="1"/>
    <col min="4" max="4" width="2.7109375" style="1" customWidth="1"/>
    <col min="5" max="5" width="21.85546875" style="1" bestFit="1" customWidth="1"/>
    <col min="6" max="6" width="10.140625" style="1" bestFit="1" customWidth="1"/>
    <col min="7" max="10" width="10.5703125" style="1" bestFit="1" customWidth="1"/>
    <col min="11" max="13" width="8.85546875" style="1"/>
    <col min="14" max="14" width="7.28515625" style="1" bestFit="1" customWidth="1"/>
    <col min="15" max="18" width="9.28515625" style="1" bestFit="1" customWidth="1"/>
    <col min="19" max="20" width="9.28515625" style="1" customWidth="1"/>
    <col min="21" max="21" width="16.85546875" style="1" bestFit="1" customWidth="1"/>
    <col min="22" max="16384" width="8.85546875" style="1"/>
  </cols>
  <sheetData>
    <row r="1" spans="1:18" s="29" customFormat="1" ht="13.5" thickBot="1">
      <c r="A1" s="28" t="s">
        <v>12</v>
      </c>
    </row>
    <row r="2" spans="1:18" s="2" customFormat="1" ht="13.5" thickTop="1">
      <c r="B2" s="99" t="s">
        <v>8</v>
      </c>
      <c r="C2" s="99"/>
      <c r="D2" s="99"/>
      <c r="E2" s="99"/>
      <c r="F2" s="99"/>
      <c r="H2" s="100" t="s">
        <v>12</v>
      </c>
      <c r="I2" s="100"/>
      <c r="J2" s="100"/>
      <c r="K2" s="100"/>
      <c r="L2" s="100"/>
      <c r="M2" s="100"/>
      <c r="N2" s="100"/>
      <c r="O2" s="100"/>
      <c r="Q2" s="15" t="s">
        <v>88</v>
      </c>
    </row>
    <row r="3" spans="1:18" s="2" customFormat="1">
      <c r="B3" s="99"/>
      <c r="C3" s="99"/>
      <c r="D3" s="99"/>
      <c r="E3" s="99"/>
      <c r="F3" s="99"/>
      <c r="H3" s="100"/>
      <c r="I3" s="100"/>
      <c r="J3" s="100"/>
      <c r="K3" s="100"/>
      <c r="L3" s="100"/>
      <c r="M3" s="100"/>
      <c r="N3" s="100"/>
      <c r="O3" s="100"/>
    </row>
    <row r="4" spans="1:18" s="2" customFormat="1">
      <c r="B4" s="99"/>
      <c r="C4" s="99"/>
      <c r="D4" s="99"/>
      <c r="E4" s="99"/>
      <c r="F4" s="99"/>
      <c r="H4" s="100"/>
      <c r="I4" s="100"/>
      <c r="J4" s="100"/>
      <c r="K4" s="100"/>
      <c r="L4" s="100"/>
      <c r="M4" s="100"/>
      <c r="N4" s="100"/>
      <c r="O4" s="100"/>
    </row>
    <row r="5" spans="1:18" s="2" customFormat="1">
      <c r="B5" s="99"/>
      <c r="C5" s="99"/>
      <c r="D5" s="99"/>
      <c r="E5" s="99"/>
      <c r="F5" s="99"/>
      <c r="H5" s="100"/>
      <c r="I5" s="100"/>
      <c r="J5" s="100"/>
      <c r="K5" s="100"/>
      <c r="L5" s="100"/>
      <c r="M5" s="100"/>
      <c r="N5" s="100"/>
      <c r="O5" s="100"/>
    </row>
    <row r="6" spans="1:18" s="2" customFormat="1">
      <c r="B6" s="99"/>
      <c r="C6" s="99"/>
      <c r="D6" s="99"/>
      <c r="E6" s="99"/>
      <c r="F6" s="99"/>
      <c r="H6" s="100"/>
      <c r="I6" s="100"/>
      <c r="J6" s="100"/>
      <c r="K6" s="100"/>
      <c r="L6" s="100"/>
      <c r="M6" s="100"/>
      <c r="N6" s="100"/>
      <c r="O6" s="100"/>
    </row>
    <row r="7" spans="1:18">
      <c r="H7" s="4"/>
      <c r="I7" s="4"/>
      <c r="J7" s="4"/>
      <c r="K7" s="4"/>
      <c r="L7" s="4"/>
      <c r="M7" s="4"/>
      <c r="N7" s="4"/>
      <c r="O7" s="4"/>
      <c r="P7" s="4"/>
      <c r="Q7" s="4"/>
      <c r="R7" s="4"/>
    </row>
    <row r="8" spans="1:18">
      <c r="H8" s="4"/>
      <c r="I8" s="110" t="s">
        <v>68</v>
      </c>
      <c r="J8" s="110"/>
      <c r="K8" s="110"/>
      <c r="L8" s="110"/>
      <c r="M8" s="110"/>
      <c r="N8" s="4"/>
      <c r="O8" s="4"/>
      <c r="P8" s="4"/>
      <c r="Q8" s="4"/>
      <c r="R8" s="4"/>
    </row>
    <row r="9" spans="1:18"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8">
      <c r="H10" s="4"/>
      <c r="I10" s="73" t="s">
        <v>191</v>
      </c>
      <c r="J10" s="73" t="s">
        <v>192</v>
      </c>
      <c r="K10" s="4"/>
      <c r="L10" s="4" t="s">
        <v>200</v>
      </c>
      <c r="M10" s="4"/>
      <c r="N10" s="4"/>
      <c r="O10" s="4"/>
      <c r="P10" s="4"/>
      <c r="Q10" s="4"/>
      <c r="R10" s="4"/>
    </row>
    <row r="11" spans="1:18">
      <c r="H11" s="4">
        <v>1</v>
      </c>
      <c r="I11" s="4" t="s">
        <v>42</v>
      </c>
      <c r="J11" s="4">
        <v>7</v>
      </c>
      <c r="K11" s="4"/>
      <c r="L11" s="4" t="s">
        <v>201</v>
      </c>
      <c r="M11" s="4"/>
      <c r="N11" s="4"/>
      <c r="O11" s="4"/>
      <c r="P11" s="4"/>
      <c r="Q11" s="4"/>
      <c r="R11" s="4"/>
    </row>
    <row r="12" spans="1:18">
      <c r="H12" s="4">
        <v>2</v>
      </c>
      <c r="I12" s="4" t="s">
        <v>47</v>
      </c>
      <c r="J12" s="4">
        <v>12</v>
      </c>
      <c r="K12" s="4"/>
      <c r="L12" s="4"/>
      <c r="M12" s="4"/>
      <c r="N12" s="4"/>
      <c r="O12" s="4"/>
      <c r="P12" s="4"/>
      <c r="Q12" s="4"/>
      <c r="R12" s="4"/>
    </row>
    <row r="13" spans="1:18">
      <c r="H13" s="4">
        <v>3</v>
      </c>
      <c r="I13" s="4" t="s">
        <v>46</v>
      </c>
      <c r="J13" s="4">
        <v>11</v>
      </c>
      <c r="K13" s="4"/>
      <c r="L13" s="97" cm="1">
        <f t="array" ref="L13:L14">_xlfn.XMATCH(L10:L11,I11:I22,2)</f>
        <v>9</v>
      </c>
      <c r="M13" s="4"/>
      <c r="N13" s="4" t="str">
        <f ca="1">_xlfn.FORMULATEXT(L13)</f>
        <v>=XMATCH(L10:L11,I11:I22,2)</v>
      </c>
      <c r="O13" s="4"/>
      <c r="P13" s="4"/>
      <c r="Q13" s="4"/>
      <c r="R13" s="4"/>
    </row>
    <row r="14" spans="1:18">
      <c r="H14" s="4">
        <v>4</v>
      </c>
      <c r="I14" s="4" t="s">
        <v>43</v>
      </c>
      <c r="J14" s="4">
        <v>8</v>
      </c>
      <c r="K14" s="4"/>
      <c r="L14" s="97">
        <v>12</v>
      </c>
      <c r="M14" s="4"/>
      <c r="N14" s="4"/>
      <c r="O14" s="4"/>
      <c r="P14" s="4"/>
      <c r="Q14" s="4"/>
      <c r="R14" s="4"/>
    </row>
    <row r="15" spans="1:18">
      <c r="H15" s="4">
        <v>5</v>
      </c>
      <c r="I15" s="4" t="s">
        <v>44</v>
      </c>
      <c r="J15" s="4">
        <v>9</v>
      </c>
      <c r="K15" s="4"/>
      <c r="L15" s="4"/>
      <c r="M15" s="4"/>
      <c r="N15" s="4"/>
      <c r="O15" s="4"/>
      <c r="P15" s="4"/>
      <c r="Q15" s="4"/>
      <c r="R15" s="4"/>
    </row>
    <row r="16" spans="1:18">
      <c r="H16" s="4">
        <v>6</v>
      </c>
      <c r="I16" s="4" t="s">
        <v>23</v>
      </c>
      <c r="J16" s="4">
        <v>5</v>
      </c>
      <c r="K16" s="4"/>
      <c r="L16" s="4"/>
      <c r="M16" s="4"/>
      <c r="N16" s="4"/>
      <c r="O16" s="4"/>
      <c r="P16" s="4"/>
      <c r="Q16" s="4"/>
      <c r="R16" s="4"/>
    </row>
    <row r="17" spans="8:18">
      <c r="H17" s="4">
        <v>7</v>
      </c>
      <c r="I17" s="4" t="s">
        <v>39</v>
      </c>
      <c r="J17" s="4">
        <v>6</v>
      </c>
      <c r="K17" s="4"/>
      <c r="L17" s="98" t="str" cm="1">
        <f t="array" ref="L17:L18">INDEX(I11:I22,_xlfn.ANCHORARRAY(L13))</f>
        <v>Prosciutto Crudo</v>
      </c>
      <c r="M17" s="4"/>
      <c r="N17" s="4" t="str">
        <f ca="1">_xlfn.FORMULATEXT(L17)</f>
        <v>=INDEX(I11:I22,L13#)</v>
      </c>
      <c r="O17" s="4"/>
      <c r="P17" s="4"/>
      <c r="Q17" s="4"/>
      <c r="R17" s="4"/>
    </row>
    <row r="18" spans="8:18">
      <c r="H18" s="4">
        <v>8</v>
      </c>
      <c r="I18" s="4" t="s">
        <v>40</v>
      </c>
      <c r="J18" s="4">
        <v>6</v>
      </c>
      <c r="K18" s="4"/>
      <c r="L18" s="98" t="str">
        <v>SalsicciaFriarielli</v>
      </c>
      <c r="M18" s="4"/>
      <c r="N18" s="4"/>
      <c r="O18" s="4"/>
      <c r="P18" s="4"/>
      <c r="Q18" s="4"/>
      <c r="R18" s="4"/>
    </row>
    <row r="19" spans="8:18">
      <c r="H19" s="4">
        <v>9</v>
      </c>
      <c r="I19" s="4" t="s">
        <v>48</v>
      </c>
      <c r="J19" s="4">
        <v>12</v>
      </c>
      <c r="K19" s="4"/>
      <c r="L19" s="4"/>
      <c r="M19" s="4"/>
      <c r="N19" s="4"/>
      <c r="O19" s="4"/>
      <c r="P19" s="4"/>
      <c r="Q19" s="4"/>
      <c r="R19" s="4"/>
    </row>
    <row r="20" spans="8:18">
      <c r="H20" s="4">
        <v>10</v>
      </c>
      <c r="I20" s="4" t="s">
        <v>49</v>
      </c>
      <c r="J20" s="4">
        <v>9</v>
      </c>
      <c r="K20" s="4"/>
      <c r="L20" s="4"/>
      <c r="M20" s="4"/>
      <c r="N20" s="4"/>
      <c r="O20" s="4"/>
      <c r="P20" s="4"/>
      <c r="Q20" s="4"/>
      <c r="R20" s="4"/>
    </row>
    <row r="21" spans="8:18">
      <c r="H21" s="4">
        <v>11</v>
      </c>
      <c r="I21" s="4" t="s">
        <v>41</v>
      </c>
      <c r="J21" s="4">
        <v>6</v>
      </c>
      <c r="K21" s="4"/>
      <c r="L21" s="4"/>
      <c r="M21" s="4"/>
      <c r="N21" s="4"/>
      <c r="O21" s="4"/>
      <c r="P21" s="4"/>
      <c r="Q21" s="4"/>
      <c r="R21" s="4"/>
    </row>
    <row r="22" spans="8:18">
      <c r="H22" s="4">
        <v>12</v>
      </c>
      <c r="I22" s="4" t="s">
        <v>45</v>
      </c>
      <c r="J22" s="4">
        <v>10</v>
      </c>
      <c r="K22" s="4"/>
      <c r="L22" s="4"/>
      <c r="M22" s="4"/>
      <c r="N22" s="4"/>
      <c r="O22" s="4"/>
      <c r="P22" s="4"/>
      <c r="Q22" s="4"/>
      <c r="R22" s="4"/>
    </row>
    <row r="23" spans="8:18"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</row>
    <row r="24" spans="8:18"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</row>
    <row r="25" spans="8:18"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</row>
    <row r="26" spans="8:18"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</row>
    <row r="27" spans="8:18"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</row>
    <row r="28" spans="8:18"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</row>
    <row r="29" spans="8:18"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</row>
    <row r="30" spans="8:18"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</row>
    <row r="31" spans="8:18"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</row>
  </sheetData>
  <mergeCells count="3">
    <mergeCell ref="B2:F6"/>
    <mergeCell ref="H2:O6"/>
    <mergeCell ref="I8:M8"/>
  </mergeCells>
  <hyperlinks>
    <hyperlink ref="Q2" location="'About and Summary'!A1" display="Home" xr:uid="{BE3F5863-1026-4CCC-B81A-FDAD70953351}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AC64C-EFBC-494C-B26E-6F5377D4AF9D}">
  <dimension ref="A1:Q28"/>
  <sheetViews>
    <sheetView showGridLines="0" zoomScaleNormal="100" workbookViewId="0">
      <selection activeCell="L24" sqref="L24"/>
    </sheetView>
  </sheetViews>
  <sheetFormatPr defaultColWidth="8.85546875" defaultRowHeight="12.75"/>
  <cols>
    <col min="1" max="2" width="8.85546875" style="8"/>
    <col min="3" max="3" width="19.28515625" style="8" bestFit="1" customWidth="1"/>
    <col min="4" max="8" width="9" style="8" bestFit="1" customWidth="1"/>
    <col min="9" max="10" width="10.5703125" style="8" bestFit="1" customWidth="1"/>
    <col min="11" max="11" width="10.7109375" style="8" bestFit="1" customWidth="1"/>
    <col min="12" max="16" width="9" style="8" customWidth="1"/>
    <col min="17" max="17" width="5.85546875" style="8" bestFit="1" customWidth="1"/>
    <col min="18" max="18" width="9.28515625" style="8" bestFit="1" customWidth="1"/>
    <col min="19" max="20" width="9.28515625" style="8" customWidth="1"/>
    <col min="21" max="21" width="16.85546875" style="8" bestFit="1" customWidth="1"/>
    <col min="22" max="28" width="9.28515625" style="8" customWidth="1"/>
    <col min="29" max="16384" width="8.85546875" style="8"/>
  </cols>
  <sheetData>
    <row r="1" spans="1:17" s="29" customFormat="1" ht="13.5" thickBot="1">
      <c r="A1" s="28" t="s">
        <v>12</v>
      </c>
    </row>
    <row r="2" spans="1:17" ht="13.5" thickTop="1">
      <c r="B2" s="99" t="s">
        <v>8</v>
      </c>
      <c r="C2" s="99"/>
      <c r="D2" s="99"/>
      <c r="E2" s="99"/>
      <c r="F2" s="99"/>
      <c r="H2" s="100" t="s">
        <v>12</v>
      </c>
      <c r="I2" s="100"/>
      <c r="J2" s="100"/>
      <c r="K2" s="100"/>
      <c r="L2" s="100"/>
      <c r="M2" s="100"/>
      <c r="N2" s="100"/>
      <c r="O2" s="100"/>
      <c r="Q2" s="57" t="s">
        <v>88</v>
      </c>
    </row>
    <row r="3" spans="1:17">
      <c r="B3" s="99"/>
      <c r="C3" s="99"/>
      <c r="D3" s="99"/>
      <c r="E3" s="99"/>
      <c r="F3" s="99"/>
      <c r="H3" s="100"/>
      <c r="I3" s="100"/>
      <c r="J3" s="100"/>
      <c r="K3" s="100"/>
      <c r="L3" s="100"/>
      <c r="M3" s="100"/>
      <c r="N3" s="100"/>
      <c r="O3" s="100"/>
    </row>
    <row r="4" spans="1:17">
      <c r="B4" s="99"/>
      <c r="C4" s="99"/>
      <c r="D4" s="99"/>
      <c r="E4" s="99"/>
      <c r="F4" s="99"/>
      <c r="H4" s="100"/>
      <c r="I4" s="100"/>
      <c r="J4" s="100"/>
      <c r="K4" s="100"/>
      <c r="L4" s="100"/>
      <c r="M4" s="100"/>
      <c r="N4" s="100"/>
      <c r="O4" s="100"/>
    </row>
    <row r="5" spans="1:17">
      <c r="B5" s="99"/>
      <c r="C5" s="99"/>
      <c r="D5" s="99"/>
      <c r="E5" s="99"/>
      <c r="F5" s="99"/>
      <c r="H5" s="100"/>
      <c r="I5" s="100"/>
      <c r="J5" s="100"/>
      <c r="K5" s="100"/>
      <c r="L5" s="100"/>
      <c r="M5" s="100"/>
      <c r="N5" s="100"/>
      <c r="O5" s="100"/>
    </row>
    <row r="6" spans="1:17">
      <c r="B6" s="99"/>
      <c r="C6" s="99"/>
      <c r="D6" s="99"/>
      <c r="E6" s="99"/>
      <c r="F6" s="99"/>
      <c r="H6" s="100"/>
      <c r="I6" s="100"/>
      <c r="J6" s="100"/>
      <c r="K6" s="100"/>
      <c r="L6" s="100"/>
      <c r="M6" s="100"/>
      <c r="N6" s="100"/>
      <c r="O6" s="100"/>
    </row>
    <row r="9" spans="1:17">
      <c r="C9" s="8" t="s">
        <v>91</v>
      </c>
      <c r="D9" s="59" t="s">
        <v>179</v>
      </c>
      <c r="E9" s="59" t="s">
        <v>180</v>
      </c>
      <c r="F9" s="59" t="s">
        <v>181</v>
      </c>
      <c r="G9" s="59" t="s">
        <v>182</v>
      </c>
      <c r="H9" s="59" t="s">
        <v>183</v>
      </c>
      <c r="K9" s="8" t="s">
        <v>91</v>
      </c>
      <c r="L9" s="59" t="s">
        <v>179</v>
      </c>
      <c r="M9" s="59" t="s">
        <v>180</v>
      </c>
      <c r="N9" s="59" t="s">
        <v>181</v>
      </c>
      <c r="O9" s="59" t="s">
        <v>182</v>
      </c>
      <c r="P9" s="59" t="s">
        <v>183</v>
      </c>
      <c r="Q9" s="62"/>
    </row>
    <row r="10" spans="1:17">
      <c r="A10" s="8" cm="1">
        <f t="array" ref="A10">MATCH(FALSE,ISBLANK(D10:H10),0)</f>
        <v>1</v>
      </c>
      <c r="B10" s="8" cm="1">
        <f t="array" ref="B10">_xlfn.XMATCH(FALSE,ISBLANK(D10:H10))</f>
        <v>1</v>
      </c>
      <c r="C10" s="60" t="s">
        <v>23</v>
      </c>
      <c r="D10" s="63" t="s">
        <v>0</v>
      </c>
      <c r="E10" s="63"/>
      <c r="F10" s="63"/>
      <c r="G10" s="63"/>
      <c r="H10" s="63"/>
      <c r="K10" s="60" t="s">
        <v>23</v>
      </c>
      <c r="L10" s="63" t="s">
        <v>0</v>
      </c>
      <c r="M10" s="63" t="s">
        <v>1</v>
      </c>
      <c r="N10" s="63" t="s">
        <v>2</v>
      </c>
      <c r="O10" s="63" t="s">
        <v>3</v>
      </c>
      <c r="P10" s="63" t="s">
        <v>4</v>
      </c>
    </row>
    <row r="11" spans="1:17">
      <c r="A11" s="8" cm="1">
        <f t="array" ref="A11">MATCH(FALSE,ISBLANK(D11:H11),0)</f>
        <v>3</v>
      </c>
      <c r="B11" s="8" cm="1">
        <f t="array" ref="B11">_xlfn.XMATCH(FALSE,ISBLANK(D11:H11))</f>
        <v>3</v>
      </c>
      <c r="C11" s="60" t="s">
        <v>39</v>
      </c>
      <c r="D11" s="63"/>
      <c r="E11" s="63"/>
      <c r="F11" s="63" t="s">
        <v>0</v>
      </c>
      <c r="G11" s="63"/>
      <c r="H11" s="63"/>
      <c r="K11" s="60" t="s">
        <v>39</v>
      </c>
      <c r="L11" s="63" t="s">
        <v>3</v>
      </c>
      <c r="M11" s="63" t="s">
        <v>4</v>
      </c>
      <c r="N11" s="63" t="s">
        <v>0</v>
      </c>
      <c r="O11" s="63" t="s">
        <v>1</v>
      </c>
      <c r="P11" s="63" t="s">
        <v>2</v>
      </c>
    </row>
    <row r="12" spans="1:17">
      <c r="A12" s="8" cm="1">
        <f t="array" ref="A12">MATCH(FALSE,ISBLANK(D12:H12),0)</f>
        <v>5</v>
      </c>
      <c r="B12" s="8" cm="1">
        <f t="array" ref="B12">_xlfn.XMATCH(FALSE,ISBLANK(D12:H12))</f>
        <v>5</v>
      </c>
      <c r="C12" s="60" t="s">
        <v>40</v>
      </c>
      <c r="D12" s="63"/>
      <c r="E12" s="63"/>
      <c r="F12" s="63"/>
      <c r="G12" s="63"/>
      <c r="H12" s="63" t="s">
        <v>0</v>
      </c>
      <c r="K12" s="60" t="s">
        <v>40</v>
      </c>
      <c r="L12" s="63" t="s">
        <v>4</v>
      </c>
      <c r="M12" s="63" t="s">
        <v>3</v>
      </c>
      <c r="N12" s="63" t="s">
        <v>1</v>
      </c>
      <c r="O12" s="63" t="s">
        <v>2</v>
      </c>
      <c r="P12" s="63" t="s">
        <v>0</v>
      </c>
    </row>
    <row r="13" spans="1:17">
      <c r="A13" s="8" cm="1">
        <f t="array" ref="A13">MATCH(FALSE,ISBLANK(D13:H13),0)</f>
        <v>2</v>
      </c>
      <c r="B13" s="8" cm="1">
        <f t="array" ref="B13">_xlfn.XMATCH(FALSE,ISBLANK(D13:H13))</f>
        <v>2</v>
      </c>
      <c r="C13" s="60" t="s">
        <v>42</v>
      </c>
      <c r="D13" s="63"/>
      <c r="E13" s="63" t="s">
        <v>0</v>
      </c>
      <c r="F13" s="63"/>
      <c r="G13" s="63"/>
      <c r="H13" s="63"/>
      <c r="K13" s="60" t="s">
        <v>42</v>
      </c>
      <c r="L13" s="63" t="s">
        <v>2</v>
      </c>
      <c r="M13" s="63" t="s">
        <v>0</v>
      </c>
      <c r="N13" s="63" t="s">
        <v>3</v>
      </c>
      <c r="O13" s="63" t="s">
        <v>4</v>
      </c>
      <c r="P13" s="63" t="s">
        <v>1</v>
      </c>
    </row>
    <row r="14" spans="1:17">
      <c r="A14" s="8" cm="1">
        <f t="array" ref="A14">MATCH(FALSE,ISBLANK(D14:H14),0)</f>
        <v>4</v>
      </c>
      <c r="B14" s="8" cm="1">
        <f t="array" ref="B14">_xlfn.XMATCH(FALSE,ISBLANK(D14:H14))</f>
        <v>4</v>
      </c>
      <c r="C14" s="60" t="s">
        <v>43</v>
      </c>
      <c r="D14" s="63"/>
      <c r="E14" s="63"/>
      <c r="F14" s="63"/>
      <c r="G14" s="63" t="s">
        <v>0</v>
      </c>
      <c r="H14" s="63"/>
      <c r="K14" s="60" t="s">
        <v>43</v>
      </c>
      <c r="L14" s="63" t="s">
        <v>1</v>
      </c>
      <c r="M14" s="63" t="s">
        <v>2</v>
      </c>
      <c r="N14" s="63" t="s">
        <v>4</v>
      </c>
      <c r="O14" s="63" t="s">
        <v>0</v>
      </c>
      <c r="P14" s="63" t="s">
        <v>3</v>
      </c>
    </row>
    <row r="15" spans="1:17">
      <c r="L15" s="64"/>
    </row>
    <row r="16" spans="1:17">
      <c r="B16" s="8" t="str">
        <f ca="1">_xlfn.FORMULATEXT(A12)</f>
        <v>=MATCH(FALSE,ISBLANK(D12:H12),0)</v>
      </c>
      <c r="L16" s="64"/>
    </row>
    <row r="17" spans="2:14">
      <c r="B17" s="8" t="str">
        <f ca="1">_xlfn.FORMULATEXT(B12)</f>
        <v>=XMATCH(FALSE,ISBLANK(D12:H12))</v>
      </c>
      <c r="L17" s="64"/>
    </row>
    <row r="18" spans="2:14">
      <c r="L18" s="64" t="s">
        <v>179</v>
      </c>
      <c r="N18" s="8" t="str">
        <f>INDEX(L10:P14,MATCH(L19,K10:K14,0),MATCH(L18,L9:P9,0))</f>
        <v>D</v>
      </c>
    </row>
    <row r="19" spans="2:14">
      <c r="J19" s="8" t="s">
        <v>69</v>
      </c>
      <c r="L19" s="61" t="s">
        <v>39</v>
      </c>
      <c r="N19" s="8" t="str" cm="1">
        <f t="array" ref="N19">INDEX(L10:P14,_xlfn.XMATCH(L19,K10:K14),_xlfn.XMATCH(L18,L9:P9))</f>
        <v>D</v>
      </c>
    </row>
    <row r="21" spans="2:14">
      <c r="N21" s="8" t="str">
        <f ca="1">_xlfn.FORMULATEXT(N18)</f>
        <v>=INDEX(L10:P14,MATCH(L19,K10:K14,0),MATCH(L18,L9:P9,0))</v>
      </c>
    </row>
    <row r="22" spans="2:14">
      <c r="N22" s="8" t="str">
        <f ca="1">_xlfn.FORMULATEXT(N19)</f>
        <v>=INDEX(L10:P14,XMATCH(L19,K10:K14),XMATCH(L18,L9:P9))</v>
      </c>
    </row>
    <row r="24" spans="2:14">
      <c r="J24" s="8" t="s">
        <v>70</v>
      </c>
      <c r="L24" s="61" t="s">
        <v>23</v>
      </c>
      <c r="N24" s="64" t="str" cm="1">
        <f t="array" ref="N24">INDEX(L9:P9,,MATCH(L25,INDEX(L10:P12,MATCH(L24,K10:K12,0),0)))</f>
        <v>Table5</v>
      </c>
    </row>
    <row r="25" spans="2:14">
      <c r="J25" s="8" t="s">
        <v>69</v>
      </c>
      <c r="L25" s="63" t="s">
        <v>4</v>
      </c>
      <c r="N25" s="64" t="str" cm="1">
        <f t="array" ref="N25">INDEX(L9:P9,,_xlfn.XMATCH(L25,INDEX(L10:P12,_xlfn.XMATCH(L24,K10:K12,0),0)))</f>
        <v>Table5</v>
      </c>
    </row>
    <row r="27" spans="2:14">
      <c r="N27" s="8" t="str">
        <f ca="1">_xlfn.FORMULATEXT(N24)</f>
        <v>=INDEX(L9:P9,,MATCH(L25,INDEX(L10:P12,MATCH(L24,K10:K12,0),0)))</v>
      </c>
    </row>
    <row r="28" spans="2:14">
      <c r="N28" s="8" t="str">
        <f ca="1">_xlfn.FORMULATEXT(N25)</f>
        <v>=INDEX(L9:P9,,XMATCH(L25,INDEX(L10:P12,XMATCH(L24,K10:K12,0),0)))</v>
      </c>
    </row>
  </sheetData>
  <mergeCells count="2">
    <mergeCell ref="B2:F6"/>
    <mergeCell ref="H2:O6"/>
  </mergeCells>
  <phoneticPr fontId="21" type="noConversion"/>
  <dataValidations count="3">
    <dataValidation type="list" allowBlank="1" showInputMessage="1" showErrorMessage="1" sqref="L25" xr:uid="{D68AE8AC-57B7-43C5-A88E-7BD002151A4E}">
      <formula1>"A,B,C,D,E"</formula1>
    </dataValidation>
    <dataValidation type="list" allowBlank="1" showInputMessage="1" showErrorMessage="1" sqref="L24 L19" xr:uid="{A5AD98F8-CD42-4070-AAF4-9ECAEF0C63DB}">
      <formula1>$K$10:$K$14</formula1>
    </dataValidation>
    <dataValidation type="list" allowBlank="1" showInputMessage="1" showErrorMessage="1" sqref="L18" xr:uid="{4E2F1AB0-BAF6-48C1-A702-E61B1E962C0E}">
      <formula1>$L$9:$P$9</formula1>
    </dataValidation>
  </dataValidations>
  <hyperlinks>
    <hyperlink ref="Q2" location="'About and Summary'!A1" display="Home" xr:uid="{55E5E4A1-FF27-44AD-8F66-AD33E04F9737}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D30A2-58B2-4AFB-A3E0-C972A408D723}">
  <dimension ref="A1:H27"/>
  <sheetViews>
    <sheetView showGridLines="0" workbookViewId="0">
      <selection sqref="A1:H1"/>
    </sheetView>
  </sheetViews>
  <sheetFormatPr defaultRowHeight="12.75"/>
  <sheetData>
    <row r="1" spans="1:8" ht="44.25">
      <c r="A1" s="111" t="s">
        <v>187</v>
      </c>
      <c r="B1" s="111"/>
      <c r="C1" s="111"/>
      <c r="D1" s="111"/>
      <c r="E1" s="111"/>
      <c r="F1" s="111"/>
      <c r="G1" s="111"/>
      <c r="H1" s="111"/>
    </row>
    <row r="2" spans="1:8" ht="44.25">
      <c r="A2" s="111" t="s">
        <v>190</v>
      </c>
      <c r="B2" s="111"/>
      <c r="C2" s="111"/>
      <c r="D2" s="111"/>
      <c r="E2" s="111"/>
      <c r="F2" s="111"/>
      <c r="G2" s="111"/>
      <c r="H2" s="111"/>
    </row>
    <row r="10" spans="1:8">
      <c r="H10" s="57" t="s">
        <v>88</v>
      </c>
    </row>
    <row r="11" spans="1:8" ht="44.25">
      <c r="A11" s="6" t="s">
        <v>71</v>
      </c>
      <c r="B11" s="5"/>
      <c r="C11" s="5"/>
      <c r="D11" s="5"/>
      <c r="E11" s="5"/>
      <c r="F11" s="5"/>
      <c r="G11" s="5"/>
      <c r="H11" s="5"/>
    </row>
    <row r="12" spans="1:8">
      <c r="A12" s="5"/>
      <c r="B12" s="5"/>
      <c r="C12" s="5"/>
      <c r="D12" s="5"/>
      <c r="E12" s="5"/>
      <c r="F12" s="5"/>
      <c r="G12" s="5"/>
      <c r="H12" s="5"/>
    </row>
    <row r="13" spans="1:8">
      <c r="A13" s="5"/>
      <c r="B13" s="5"/>
      <c r="C13" s="5"/>
      <c r="D13" s="5"/>
      <c r="E13" s="5"/>
      <c r="F13" s="5"/>
      <c r="G13" s="5"/>
      <c r="H13" s="5"/>
    </row>
    <row r="14" spans="1:8">
      <c r="B14" s="5"/>
      <c r="C14" s="7" t="s">
        <v>76</v>
      </c>
      <c r="D14" s="5"/>
      <c r="E14" s="5"/>
      <c r="F14" s="5"/>
      <c r="G14" s="5"/>
      <c r="H14" s="5"/>
    </row>
    <row r="15" spans="1:8">
      <c r="A15" s="5"/>
      <c r="B15" s="5"/>
      <c r="C15" s="5"/>
      <c r="D15" s="5"/>
      <c r="E15" s="5"/>
      <c r="F15" s="5"/>
      <c r="G15" s="5"/>
      <c r="H15" s="5"/>
    </row>
    <row r="16" spans="1:8">
      <c r="A16" s="5"/>
      <c r="B16" s="5"/>
      <c r="C16" s="5"/>
      <c r="D16" s="5"/>
      <c r="E16" s="5"/>
      <c r="F16" s="5"/>
      <c r="G16" s="5"/>
      <c r="H16" s="5"/>
    </row>
    <row r="17" spans="1:8">
      <c r="A17" s="5"/>
      <c r="B17" s="5"/>
      <c r="C17" s="5"/>
      <c r="D17" s="5"/>
      <c r="E17" s="5"/>
      <c r="F17" s="5"/>
      <c r="G17" s="5"/>
      <c r="H17" s="5"/>
    </row>
    <row r="18" spans="1:8">
      <c r="A18" s="5"/>
      <c r="B18" s="5"/>
      <c r="C18" s="5"/>
      <c r="D18" s="5"/>
      <c r="E18" s="5"/>
      <c r="F18" s="5"/>
      <c r="G18" s="5"/>
      <c r="H18" s="5"/>
    </row>
    <row r="19" spans="1:8">
      <c r="B19" s="5"/>
      <c r="C19" s="7" t="s">
        <v>75</v>
      </c>
      <c r="D19" s="5"/>
      <c r="E19" s="5"/>
      <c r="F19" s="5"/>
      <c r="G19" s="5"/>
      <c r="H19" s="5"/>
    </row>
    <row r="20" spans="1:8">
      <c r="A20" s="5"/>
      <c r="B20" s="5"/>
      <c r="C20" s="5"/>
      <c r="D20" s="5"/>
      <c r="E20" s="5"/>
      <c r="F20" s="5"/>
      <c r="G20" s="5"/>
      <c r="H20" s="5"/>
    </row>
    <row r="21" spans="1:8">
      <c r="A21" s="5"/>
      <c r="B21" s="5"/>
      <c r="C21" s="5"/>
      <c r="D21" s="5"/>
      <c r="E21" s="5"/>
      <c r="F21" s="5"/>
      <c r="G21" s="5"/>
      <c r="H21" s="5"/>
    </row>
    <row r="22" spans="1:8">
      <c r="A22" s="5"/>
      <c r="B22" s="5"/>
      <c r="C22" s="5"/>
      <c r="D22" s="5"/>
      <c r="E22" s="5"/>
      <c r="F22" s="5"/>
      <c r="G22" s="5"/>
      <c r="H22" s="5"/>
    </row>
    <row r="23" spans="1:8">
      <c r="A23" s="5"/>
      <c r="B23" s="5"/>
      <c r="C23" s="5"/>
      <c r="D23" s="5"/>
      <c r="E23" s="5"/>
      <c r="F23" s="5"/>
      <c r="G23" s="5"/>
      <c r="H23" s="5"/>
    </row>
    <row r="24" spans="1:8">
      <c r="B24" s="5"/>
      <c r="C24" s="7" t="s">
        <v>74</v>
      </c>
      <c r="D24" s="5"/>
      <c r="E24" s="5"/>
      <c r="F24" s="5" t="s">
        <v>77</v>
      </c>
      <c r="G24" s="5"/>
      <c r="H24" s="5"/>
    </row>
    <row r="25" spans="1:8">
      <c r="A25" s="5"/>
      <c r="B25" s="5"/>
      <c r="C25" s="5"/>
      <c r="D25" s="5"/>
      <c r="E25" s="5"/>
      <c r="F25" s="5"/>
      <c r="G25" s="5"/>
      <c r="H25" s="5"/>
    </row>
    <row r="26" spans="1:8">
      <c r="A26" s="5"/>
      <c r="B26" s="5"/>
      <c r="C26" s="5"/>
      <c r="D26" s="5"/>
      <c r="E26" s="5"/>
      <c r="F26" s="5"/>
      <c r="G26" s="5"/>
      <c r="H26" s="5"/>
    </row>
    <row r="27" spans="1:8">
      <c r="A27" s="5"/>
      <c r="B27" s="5"/>
      <c r="C27" s="5"/>
      <c r="D27" s="5"/>
      <c r="E27" s="5"/>
      <c r="F27" s="5"/>
      <c r="G27" s="5"/>
      <c r="H27" s="5"/>
    </row>
  </sheetData>
  <mergeCells count="2">
    <mergeCell ref="A1:H1"/>
    <mergeCell ref="A2:H2"/>
  </mergeCells>
  <hyperlinks>
    <hyperlink ref="C24" r:id="rId1" xr:uid="{D8DE3D92-E60C-4859-8109-1B9A2B0DCEDE}"/>
    <hyperlink ref="C19" r:id="rId2" xr:uid="{BE73107B-6D57-4025-848A-CA7300DE277D}"/>
    <hyperlink ref="C14" r:id="rId3" xr:uid="{D486FFB4-6958-45C4-9B34-9E5CDA6B4095}"/>
    <hyperlink ref="H10" location="'About and Summary'!A1" display="Home" xr:uid="{2D2A7636-CFAC-43C6-A500-8ABC9072F32C}"/>
  </hyperlinks>
  <pageMargins left="0.7" right="0.7" top="0.75" bottom="0.75" header="0.3" footer="0.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69636-0C27-4D83-B40A-9115CFD44C4B}">
  <dimension ref="A1:P37"/>
  <sheetViews>
    <sheetView showGridLines="0" workbookViewId="0">
      <selection activeCell="G18" sqref="G18"/>
    </sheetView>
  </sheetViews>
  <sheetFormatPr defaultColWidth="8.85546875" defaultRowHeight="12.75"/>
  <cols>
    <col min="1" max="2" width="8.85546875" style="58"/>
    <col min="3" max="3" width="20.28515625" style="58" bestFit="1" customWidth="1"/>
    <col min="4" max="16384" width="8.85546875" style="58"/>
  </cols>
  <sheetData>
    <row r="1" spans="1:16" s="8" customFormat="1">
      <c r="B1" s="99" t="s">
        <v>8</v>
      </c>
      <c r="C1" s="99"/>
      <c r="D1" s="99"/>
      <c r="E1" s="99"/>
      <c r="G1" s="100" t="s">
        <v>11</v>
      </c>
      <c r="H1" s="100"/>
      <c r="I1" s="100"/>
      <c r="J1" s="100"/>
      <c r="K1" s="100"/>
      <c r="L1" s="100"/>
      <c r="M1" s="100"/>
      <c r="N1" s="100"/>
      <c r="P1" s="57" t="s">
        <v>88</v>
      </c>
    </row>
    <row r="2" spans="1:16" s="8" customFormat="1">
      <c r="B2" s="99"/>
      <c r="C2" s="99"/>
      <c r="D2" s="99"/>
      <c r="E2" s="99"/>
      <c r="G2" s="100"/>
      <c r="H2" s="100"/>
      <c r="I2" s="100"/>
      <c r="J2" s="100"/>
      <c r="K2" s="100"/>
      <c r="L2" s="100"/>
      <c r="M2" s="100"/>
      <c r="N2" s="100"/>
    </row>
    <row r="3" spans="1:16" s="8" customFormat="1">
      <c r="B3" s="99"/>
      <c r="C3" s="99"/>
      <c r="D3" s="99"/>
      <c r="E3" s="99"/>
      <c r="G3" s="100"/>
      <c r="H3" s="100"/>
      <c r="I3" s="100"/>
      <c r="J3" s="100"/>
      <c r="K3" s="100"/>
      <c r="L3" s="100"/>
      <c r="M3" s="100"/>
      <c r="N3" s="100"/>
    </row>
    <row r="4" spans="1:16" s="8" customFormat="1">
      <c r="B4" s="99"/>
      <c r="C4" s="99"/>
      <c r="D4" s="99"/>
      <c r="E4" s="99"/>
      <c r="G4" s="100"/>
      <c r="H4" s="100"/>
      <c r="I4" s="100"/>
      <c r="J4" s="100"/>
      <c r="K4" s="100"/>
      <c r="L4" s="100"/>
      <c r="M4" s="100"/>
      <c r="N4" s="100"/>
    </row>
    <row r="5" spans="1:16" s="8" customFormat="1">
      <c r="B5" s="99"/>
      <c r="C5" s="99"/>
      <c r="D5" s="99"/>
      <c r="E5" s="99"/>
      <c r="G5" s="100"/>
      <c r="H5" s="100"/>
      <c r="I5" s="100"/>
      <c r="J5" s="100"/>
      <c r="K5" s="100"/>
      <c r="L5" s="100"/>
      <c r="M5" s="100"/>
      <c r="N5" s="100"/>
    </row>
    <row r="10" spans="1:16">
      <c r="A10" s="69" t="s">
        <v>188</v>
      </c>
    </row>
    <row r="15" spans="1:16">
      <c r="C15" s="70" t="s">
        <v>60</v>
      </c>
    </row>
    <row r="16" spans="1:16">
      <c r="C16" s="8" t="s">
        <v>23</v>
      </c>
      <c r="D16" s="58">
        <v>18</v>
      </c>
    </row>
    <row r="17" spans="3:8">
      <c r="C17" s="8" t="s">
        <v>39</v>
      </c>
      <c r="D17" s="58">
        <v>86</v>
      </c>
    </row>
    <row r="18" spans="3:8">
      <c r="C18" s="8" t="s">
        <v>40</v>
      </c>
      <c r="D18" s="58">
        <v>37</v>
      </c>
      <c r="G18" s="8" t="s">
        <v>41</v>
      </c>
      <c r="H18" s="58" cm="1">
        <f t="array" ref="H18:H28">_xlfn.XLOOKUP(G18:G28,C16:C37,D16:D37)</f>
        <v>68</v>
      </c>
    </row>
    <row r="19" spans="3:8">
      <c r="C19" s="8" t="s">
        <v>41</v>
      </c>
      <c r="D19" s="58">
        <v>68</v>
      </c>
      <c r="G19" s="8" t="s">
        <v>42</v>
      </c>
      <c r="H19" s="58">
        <v>48</v>
      </c>
    </row>
    <row r="20" spans="3:8">
      <c r="C20" s="8" t="s">
        <v>42</v>
      </c>
      <c r="D20" s="58">
        <v>48</v>
      </c>
      <c r="G20" s="8" t="s">
        <v>43</v>
      </c>
      <c r="H20" s="58">
        <v>51</v>
      </c>
    </row>
    <row r="21" spans="3:8">
      <c r="C21" s="8" t="s">
        <v>43</v>
      </c>
      <c r="D21" s="58">
        <v>51</v>
      </c>
      <c r="G21" s="8" t="s">
        <v>44</v>
      </c>
      <c r="H21" s="58">
        <v>79</v>
      </c>
    </row>
    <row r="22" spans="3:8">
      <c r="C22" s="8" t="s">
        <v>44</v>
      </c>
      <c r="D22" s="58">
        <v>79</v>
      </c>
      <c r="G22" s="8" t="s">
        <v>45</v>
      </c>
      <c r="H22" s="58">
        <v>43</v>
      </c>
    </row>
    <row r="23" spans="3:8">
      <c r="C23" s="8" t="s">
        <v>45</v>
      </c>
      <c r="D23" s="58">
        <v>43</v>
      </c>
      <c r="G23" s="8" t="s">
        <v>46</v>
      </c>
      <c r="H23" s="58">
        <v>18</v>
      </c>
    </row>
    <row r="24" spans="3:8">
      <c r="C24" s="8" t="s">
        <v>46</v>
      </c>
      <c r="D24" s="58">
        <v>18</v>
      </c>
      <c r="G24" s="8" t="s">
        <v>47</v>
      </c>
      <c r="H24" s="58">
        <v>92</v>
      </c>
    </row>
    <row r="25" spans="3:8">
      <c r="C25" s="8" t="s">
        <v>47</v>
      </c>
      <c r="D25" s="58">
        <v>92</v>
      </c>
      <c r="G25" s="8" t="s">
        <v>48</v>
      </c>
      <c r="H25" s="58">
        <v>30</v>
      </c>
    </row>
    <row r="26" spans="3:8">
      <c r="C26" s="8" t="s">
        <v>48</v>
      </c>
      <c r="D26" s="58">
        <v>30</v>
      </c>
      <c r="G26" s="8" t="s">
        <v>49</v>
      </c>
      <c r="H26" s="58">
        <v>59</v>
      </c>
    </row>
    <row r="27" spans="3:8">
      <c r="C27" s="8" t="s">
        <v>49</v>
      </c>
      <c r="D27" s="58">
        <v>59</v>
      </c>
      <c r="G27" s="8" t="s">
        <v>50</v>
      </c>
      <c r="H27" s="58">
        <v>11</v>
      </c>
    </row>
    <row r="28" spans="3:8">
      <c r="C28" s="8" t="s">
        <v>50</v>
      </c>
      <c r="D28" s="58">
        <v>11</v>
      </c>
      <c r="G28" s="8" t="s">
        <v>51</v>
      </c>
      <c r="H28" s="58">
        <v>27</v>
      </c>
    </row>
    <row r="29" spans="3:8">
      <c r="C29" s="8" t="s">
        <v>51</v>
      </c>
      <c r="D29" s="58">
        <v>27</v>
      </c>
    </row>
    <row r="30" spans="3:8">
      <c r="C30" s="8" t="s">
        <v>52</v>
      </c>
      <c r="D30" s="58">
        <v>60</v>
      </c>
    </row>
    <row r="31" spans="3:8">
      <c r="C31" s="8" t="s">
        <v>53</v>
      </c>
      <c r="D31" s="58">
        <v>33</v>
      </c>
    </row>
    <row r="32" spans="3:8">
      <c r="C32" s="8" t="s">
        <v>54</v>
      </c>
      <c r="D32" s="58">
        <v>21</v>
      </c>
      <c r="H32" s="58" cm="1">
        <f t="array" ref="H32:H37">D16:D21+D33:D37</f>
        <v>86</v>
      </c>
    </row>
    <row r="33" spans="3:8">
      <c r="C33" s="8" t="s">
        <v>55</v>
      </c>
      <c r="D33" s="58">
        <v>68</v>
      </c>
      <c r="H33" s="58">
        <v>142</v>
      </c>
    </row>
    <row r="34" spans="3:8">
      <c r="C34" s="8" t="s">
        <v>56</v>
      </c>
      <c r="D34" s="58">
        <v>56</v>
      </c>
      <c r="H34" s="58">
        <v>111</v>
      </c>
    </row>
    <row r="35" spans="3:8">
      <c r="C35" s="8" t="s">
        <v>57</v>
      </c>
      <c r="D35" s="58">
        <v>74</v>
      </c>
      <c r="H35" s="58">
        <v>129</v>
      </c>
    </row>
    <row r="36" spans="3:8">
      <c r="C36" s="8" t="s">
        <v>58</v>
      </c>
      <c r="D36" s="58">
        <v>61</v>
      </c>
      <c r="H36" s="58">
        <v>67</v>
      </c>
    </row>
    <row r="37" spans="3:8">
      <c r="C37" s="8" t="s">
        <v>59</v>
      </c>
      <c r="D37" s="58">
        <v>19</v>
      </c>
      <c r="H37" s="58" t="e">
        <v>#N/A</v>
      </c>
    </row>
  </sheetData>
  <mergeCells count="2">
    <mergeCell ref="B1:E5"/>
    <mergeCell ref="G1:N5"/>
  </mergeCells>
  <hyperlinks>
    <hyperlink ref="P1" location="'About and Summary'!A1" display="Home" xr:uid="{158CC725-E877-4276-8E6D-30A1DE7219FF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83283-6533-47A0-BBBF-A423574C6223}">
  <sheetPr>
    <tabColor theme="9" tint="0.59999389629810485"/>
  </sheetPr>
  <dimension ref="A1:AB41"/>
  <sheetViews>
    <sheetView showGridLines="0" workbookViewId="0">
      <selection activeCell="I12" sqref="I12"/>
    </sheetView>
  </sheetViews>
  <sheetFormatPr defaultColWidth="8.85546875" defaultRowHeight="12.75"/>
  <cols>
    <col min="1" max="2" width="8.85546875" style="19"/>
    <col min="3" max="3" width="10.28515625" style="19" bestFit="1" customWidth="1"/>
    <col min="4" max="4" width="16.42578125" style="19" bestFit="1" customWidth="1"/>
    <col min="5" max="6" width="8.85546875" style="19"/>
    <col min="7" max="7" width="11.7109375" style="19" bestFit="1" customWidth="1"/>
    <col min="8" max="8" width="8.85546875" style="19"/>
    <col min="9" max="9" width="16.42578125" style="19" bestFit="1" customWidth="1"/>
    <col min="10" max="10" width="7.85546875" style="19" bestFit="1" customWidth="1"/>
    <col min="11" max="11" width="9" style="19" customWidth="1"/>
    <col min="12" max="12" width="11.7109375" style="19" bestFit="1" customWidth="1"/>
    <col min="13" max="19" width="8.85546875" style="19"/>
    <col min="20" max="28" width="0" style="19" hidden="1" customWidth="1"/>
    <col min="29" max="16384" width="8.85546875" style="19"/>
  </cols>
  <sheetData>
    <row r="1" spans="1:28" s="29" customFormat="1" ht="13.5" thickBot="1">
      <c r="A1" s="28" t="s">
        <v>89</v>
      </c>
    </row>
    <row r="2" spans="1:28" ht="13.5" thickTop="1">
      <c r="B2" s="8"/>
      <c r="C2" s="99" t="s">
        <v>8</v>
      </c>
      <c r="D2" s="99"/>
      <c r="E2" s="99"/>
      <c r="F2" s="99"/>
      <c r="H2" s="100" t="s">
        <v>11</v>
      </c>
      <c r="I2" s="100"/>
      <c r="J2" s="100"/>
      <c r="K2" s="100"/>
      <c r="L2" s="100"/>
      <c r="M2" s="100"/>
      <c r="N2" s="100"/>
      <c r="O2" s="100"/>
      <c r="Q2" s="15" t="s">
        <v>88</v>
      </c>
    </row>
    <row r="3" spans="1:28">
      <c r="B3" s="8"/>
      <c r="C3" s="99"/>
      <c r="D3" s="99"/>
      <c r="E3" s="99"/>
      <c r="F3" s="99"/>
      <c r="H3" s="100"/>
      <c r="I3" s="100"/>
      <c r="J3" s="100"/>
      <c r="K3" s="100"/>
      <c r="L3" s="100"/>
      <c r="M3" s="100"/>
      <c r="N3" s="100"/>
      <c r="O3" s="100"/>
    </row>
    <row r="4" spans="1:28">
      <c r="B4" s="8"/>
      <c r="C4" s="99"/>
      <c r="D4" s="99"/>
      <c r="E4" s="99"/>
      <c r="F4" s="99"/>
      <c r="H4" s="100"/>
      <c r="I4" s="100"/>
      <c r="J4" s="100"/>
      <c r="K4" s="100"/>
      <c r="L4" s="100"/>
      <c r="M4" s="100"/>
      <c r="N4" s="100"/>
      <c r="O4" s="100"/>
    </row>
    <row r="5" spans="1:28">
      <c r="B5" s="8"/>
      <c r="C5" s="99"/>
      <c r="D5" s="99"/>
      <c r="E5" s="99"/>
      <c r="F5" s="99"/>
      <c r="H5" s="100"/>
      <c r="I5" s="100"/>
      <c r="J5" s="100"/>
      <c r="K5" s="100"/>
      <c r="L5" s="100"/>
      <c r="M5" s="100"/>
      <c r="N5" s="100"/>
      <c r="O5" s="100"/>
    </row>
    <row r="6" spans="1:28">
      <c r="B6" s="8"/>
      <c r="C6" s="99"/>
      <c r="D6" s="99"/>
      <c r="E6" s="99"/>
      <c r="F6" s="99"/>
      <c r="H6" s="100"/>
      <c r="I6" s="100"/>
      <c r="J6" s="100"/>
      <c r="K6" s="100"/>
      <c r="L6" s="100"/>
      <c r="M6" s="100"/>
      <c r="N6" s="100"/>
      <c r="O6" s="100"/>
    </row>
    <row r="7" spans="1:28" ht="12.75" customHeight="1">
      <c r="B7" s="8"/>
      <c r="C7" s="17"/>
      <c r="D7" s="17"/>
      <c r="E7" s="17"/>
      <c r="F7" s="17"/>
    </row>
    <row r="8" spans="1:28">
      <c r="C8" s="24" t="s">
        <v>90</v>
      </c>
      <c r="D8" s="24" t="s">
        <v>91</v>
      </c>
      <c r="E8" s="24" t="s">
        <v>92</v>
      </c>
      <c r="F8" s="24" t="s">
        <v>93</v>
      </c>
      <c r="G8" s="24" t="s">
        <v>94</v>
      </c>
      <c r="I8" s="25" t="s">
        <v>91</v>
      </c>
      <c r="J8" s="26" t="s">
        <v>92</v>
      </c>
      <c r="K8" s="26" t="s">
        <v>93</v>
      </c>
      <c r="L8" s="26" t="s">
        <v>94</v>
      </c>
    </row>
    <row r="9" spans="1:28">
      <c r="C9" s="19" t="s">
        <v>95</v>
      </c>
      <c r="D9" s="19" t="s">
        <v>23</v>
      </c>
      <c r="E9" s="47">
        <v>84765</v>
      </c>
      <c r="F9" s="20">
        <v>0.95</v>
      </c>
      <c r="G9" s="21">
        <v>44562</v>
      </c>
      <c r="I9" s="19" t="s">
        <v>23</v>
      </c>
      <c r="J9" s="82">
        <f>VLOOKUP(I9,TblPizza[[Pizza]:[Last purchase]],2,FALSE)</f>
        <v>84765</v>
      </c>
      <c r="K9" s="48"/>
      <c r="L9" s="21"/>
      <c r="N9" s="19" t="str">
        <f ca="1">_xlfn.FORMULATEXT(J9)</f>
        <v>=VLOOKUP(I9,TblPizza[[Pizza]:[Last purchase]],2,FALSE)</v>
      </c>
    </row>
    <row r="10" spans="1:28">
      <c r="C10" s="19" t="s">
        <v>95</v>
      </c>
      <c r="D10" s="19" t="s">
        <v>39</v>
      </c>
      <c r="E10" s="47">
        <v>66702</v>
      </c>
      <c r="F10" s="20">
        <v>0.75</v>
      </c>
      <c r="G10" s="21">
        <v>44562</v>
      </c>
      <c r="I10" s="19" t="s">
        <v>39</v>
      </c>
      <c r="J10" s="83" cm="1">
        <f t="array" ref="J10:L10">_xlfn.XLOOKUP(I10,TblPizza[Pizza],TblPizza[[Quantity]:[Last purchase]])</f>
        <v>66702</v>
      </c>
      <c r="K10" s="48">
        <v>0.75</v>
      </c>
      <c r="L10" s="21">
        <v>44562</v>
      </c>
      <c r="N10" s="19" t="str">
        <f ca="1">_xlfn.FORMULATEXT(J10)</f>
        <v>=XLOOKUP(I10,TblPizza[Pizza],TblPizza[[Quantity]:[Last purchase]])</v>
      </c>
    </row>
    <row r="11" spans="1:28">
      <c r="C11" s="19" t="s">
        <v>95</v>
      </c>
      <c r="D11" s="19" t="s">
        <v>40</v>
      </c>
      <c r="E11" s="47">
        <v>60291</v>
      </c>
      <c r="F11" s="20">
        <v>0.81</v>
      </c>
      <c r="G11" s="21">
        <v>44592</v>
      </c>
      <c r="I11" s="19" t="s">
        <v>40</v>
      </c>
      <c r="J11" s="83" cm="1">
        <f t="array" ref="J11:L11">_xlfn.XLOOKUP(I11,TblPizza[Pizza],TblPizza[[Quantity]:[Last purchase]])</f>
        <v>60291</v>
      </c>
      <c r="K11" s="48">
        <v>0.81</v>
      </c>
      <c r="L11" s="21">
        <v>44592</v>
      </c>
    </row>
    <row r="12" spans="1:28">
      <c r="C12" s="19" t="s">
        <v>95</v>
      </c>
      <c r="D12" s="19" t="s">
        <v>41</v>
      </c>
      <c r="E12" s="47">
        <v>52544</v>
      </c>
      <c r="F12" s="20">
        <v>0.72</v>
      </c>
      <c r="G12" s="21">
        <v>44592</v>
      </c>
      <c r="I12" s="19" t="s">
        <v>41</v>
      </c>
      <c r="J12" s="83" cm="1">
        <f t="array" ref="J12:L12">_xlfn.XLOOKUP(I12,TblPizza[Pizza],TblPizza[[Quantity]:[Last purchase]])</f>
        <v>52544</v>
      </c>
      <c r="K12" s="48">
        <v>0.72</v>
      </c>
      <c r="L12" s="21">
        <v>44592</v>
      </c>
    </row>
    <row r="13" spans="1:28">
      <c r="C13" s="19" t="s">
        <v>95</v>
      </c>
      <c r="D13" s="19" t="s">
        <v>42</v>
      </c>
      <c r="E13" s="47">
        <v>62342</v>
      </c>
      <c r="F13" s="20">
        <v>0.6</v>
      </c>
      <c r="G13" s="21">
        <v>44562</v>
      </c>
      <c r="I13" s="19" t="s">
        <v>42</v>
      </c>
      <c r="J13" s="83" cm="1">
        <f t="array" ref="J13:L13">_xlfn.XLOOKUP(I13,TblPizza[Pizza],TblPizza[[Quantity]:[Last purchase]])</f>
        <v>62342</v>
      </c>
      <c r="K13" s="48">
        <v>0.6</v>
      </c>
      <c r="L13" s="21">
        <v>44562</v>
      </c>
      <c r="T13" s="19" t="s">
        <v>202</v>
      </c>
      <c r="Y13" s="19" t="s">
        <v>203</v>
      </c>
    </row>
    <row r="14" spans="1:28">
      <c r="C14" s="19" t="s">
        <v>95</v>
      </c>
      <c r="D14" s="19" t="s">
        <v>43</v>
      </c>
      <c r="E14" s="47">
        <v>62010</v>
      </c>
      <c r="F14" s="20">
        <v>0.69</v>
      </c>
      <c r="G14" s="21">
        <v>44562</v>
      </c>
      <c r="I14" s="19" t="s">
        <v>43</v>
      </c>
      <c r="J14" s="83" cm="1">
        <f t="array" ref="J14:L14">_xlfn.XLOOKUP(I14,TblPizza[Pizza],TblPizza[[Quantity]:[Last purchase]])</f>
        <v>62010</v>
      </c>
      <c r="K14" s="48">
        <v>0.69</v>
      </c>
      <c r="L14" s="21">
        <v>44562</v>
      </c>
      <c r="U14" s="19" t="s">
        <v>92</v>
      </c>
      <c r="V14" s="19" t="s">
        <v>93</v>
      </c>
      <c r="W14" s="19" t="s">
        <v>94</v>
      </c>
    </row>
    <row r="15" spans="1:28">
      <c r="C15" s="19" t="s">
        <v>95</v>
      </c>
      <c r="D15" s="19" t="s">
        <v>44</v>
      </c>
      <c r="E15" s="47">
        <v>69771</v>
      </c>
      <c r="F15" s="20">
        <v>0.55000000000000004</v>
      </c>
      <c r="G15" s="21">
        <v>44592</v>
      </c>
      <c r="I15" s="19" t="s">
        <v>44</v>
      </c>
      <c r="J15" s="83" cm="1">
        <f t="array" ref="J15:L15">_xlfn.XLOOKUP(I15,TblPizza[Pizza],TblPizza[[Quantity]:[Last purchase]])</f>
        <v>69771</v>
      </c>
      <c r="K15" s="48">
        <v>0.55000000000000004</v>
      </c>
      <c r="L15" s="21">
        <v>44592</v>
      </c>
      <c r="T15" s="19" t="str" cm="1">
        <f t="array" ref="T15:T24">_xlfn._xlws.FILTER(TblPizza[Pizza],TblPizza[Category]="Classic")</f>
        <v>Margherita</v>
      </c>
      <c r="U15" s="47" cm="1">
        <f t="array" ref="U15:U24">_xlfn.XLOOKUP(_xlfn.ANCHORARRAY(T15),TblPizza[Pizza],TblPizza[[Quantity]:[Last purchase]])</f>
        <v>84765</v>
      </c>
      <c r="V15" s="48"/>
      <c r="W15" s="21"/>
      <c r="Y15" s="19" t="str" cm="1">
        <f t="array" ref="Y15:AB24">_xlfn._xlws.FILTER(TblPizza[[Pizza]:[Last purchase]],TblPizza[Category]="Classic")</f>
        <v>Margherita</v>
      </c>
      <c r="Z15" s="47">
        <v>84765</v>
      </c>
      <c r="AA15" s="48">
        <v>0.95</v>
      </c>
      <c r="AB15" s="21">
        <v>44562</v>
      </c>
    </row>
    <row r="16" spans="1:28">
      <c r="C16" s="19" t="s">
        <v>95</v>
      </c>
      <c r="D16" s="19" t="s">
        <v>45</v>
      </c>
      <c r="E16" s="47">
        <v>82372</v>
      </c>
      <c r="F16" s="20">
        <v>0.84</v>
      </c>
      <c r="G16" s="21">
        <v>44562</v>
      </c>
      <c r="I16" s="19" t="s">
        <v>45</v>
      </c>
      <c r="J16" s="83" cm="1">
        <f t="array" ref="J16:L16">_xlfn.XLOOKUP(I16,TblPizza[Pizza],TblPizza[[Quantity]:[Last purchase]])</f>
        <v>82372</v>
      </c>
      <c r="K16" s="48">
        <v>0.84</v>
      </c>
      <c r="L16" s="21">
        <v>44562</v>
      </c>
      <c r="T16" s="19" t="str">
        <v>Marinara</v>
      </c>
      <c r="U16" s="47">
        <v>66702</v>
      </c>
      <c r="V16" s="48"/>
      <c r="W16" s="21"/>
      <c r="Y16" s="19" t="str">
        <v>Marinara</v>
      </c>
      <c r="Z16" s="47">
        <v>66702</v>
      </c>
      <c r="AA16" s="48">
        <v>0.75</v>
      </c>
      <c r="AB16" s="21">
        <v>44562</v>
      </c>
    </row>
    <row r="17" spans="3:28">
      <c r="C17" s="19" t="s">
        <v>95</v>
      </c>
      <c r="D17" s="19" t="s">
        <v>46</v>
      </c>
      <c r="E17" s="47">
        <v>54226</v>
      </c>
      <c r="F17" s="20">
        <v>0.66</v>
      </c>
      <c r="G17" s="21">
        <v>44562</v>
      </c>
      <c r="J17" s="47"/>
      <c r="K17" s="48"/>
      <c r="L17" s="21"/>
      <c r="T17" s="19" t="str">
        <v>Napoletana</v>
      </c>
      <c r="U17" s="47">
        <v>60291</v>
      </c>
      <c r="V17" s="48"/>
      <c r="W17" s="21"/>
      <c r="Y17" s="19" t="str">
        <v>Napoletana</v>
      </c>
      <c r="Z17" s="47">
        <v>60291</v>
      </c>
      <c r="AA17" s="48">
        <v>0.81</v>
      </c>
      <c r="AB17" s="21">
        <v>44592</v>
      </c>
    </row>
    <row r="18" spans="3:28">
      <c r="C18" s="19" t="s">
        <v>95</v>
      </c>
      <c r="D18" s="19" t="s">
        <v>47</v>
      </c>
      <c r="E18" s="47">
        <v>80248</v>
      </c>
      <c r="F18" s="20">
        <v>0.88</v>
      </c>
      <c r="G18" s="21">
        <v>44562</v>
      </c>
      <c r="J18" s="47"/>
      <c r="K18" s="48"/>
      <c r="L18" s="21"/>
      <c r="T18" s="19" t="str">
        <v>Romana</v>
      </c>
      <c r="U18" s="47">
        <v>52544</v>
      </c>
      <c r="V18" s="48"/>
      <c r="W18" s="21"/>
      <c r="Y18" s="19" t="str">
        <v>Romana</v>
      </c>
      <c r="Z18" s="47">
        <v>52544</v>
      </c>
      <c r="AA18" s="48">
        <v>0.72</v>
      </c>
      <c r="AB18" s="21">
        <v>44592</v>
      </c>
    </row>
    <row r="19" spans="3:28">
      <c r="C19" s="19" t="s">
        <v>96</v>
      </c>
      <c r="D19" s="19" t="s">
        <v>48</v>
      </c>
      <c r="E19" s="47">
        <v>40719</v>
      </c>
      <c r="F19" s="20">
        <v>0.6</v>
      </c>
      <c r="G19" s="21">
        <v>44562</v>
      </c>
      <c r="J19" s="47"/>
      <c r="K19" s="48"/>
      <c r="L19" s="21"/>
      <c r="T19" s="19" t="str">
        <v>4Stagioni</v>
      </c>
      <c r="U19" s="47">
        <v>62342</v>
      </c>
      <c r="V19" s="48"/>
      <c r="W19" s="21"/>
      <c r="Y19" s="19" t="str">
        <v>4Stagioni</v>
      </c>
      <c r="Z19" s="47">
        <v>62342</v>
      </c>
      <c r="AA19" s="48">
        <v>0.6</v>
      </c>
      <c r="AB19" s="21">
        <v>44562</v>
      </c>
    </row>
    <row r="20" spans="3:28">
      <c r="C20" s="19" t="s">
        <v>96</v>
      </c>
      <c r="D20" s="19" t="s">
        <v>49</v>
      </c>
      <c r="E20" s="47">
        <v>16866</v>
      </c>
      <c r="F20" s="20">
        <v>0.47</v>
      </c>
      <c r="G20" s="21">
        <v>44592</v>
      </c>
      <c r="J20" s="47"/>
      <c r="K20" s="48"/>
      <c r="L20" s="21"/>
      <c r="T20" s="19" t="str">
        <v>Capricciosa</v>
      </c>
      <c r="U20" s="47">
        <v>62010</v>
      </c>
      <c r="V20" s="48"/>
      <c r="W20" s="21"/>
      <c r="Y20" s="19" t="str">
        <v>Capricciosa</v>
      </c>
      <c r="Z20" s="47">
        <v>62010</v>
      </c>
      <c r="AA20" s="48">
        <v>0.69</v>
      </c>
      <c r="AB20" s="21">
        <v>44562</v>
      </c>
    </row>
    <row r="21" spans="3:28">
      <c r="C21" s="19" t="s">
        <v>96</v>
      </c>
      <c r="D21" s="19" t="s">
        <v>50</v>
      </c>
      <c r="E21" s="47">
        <v>44716</v>
      </c>
      <c r="F21" s="20">
        <v>0.48</v>
      </c>
      <c r="G21" s="21">
        <v>44562</v>
      </c>
      <c r="T21" s="19" t="str">
        <v>Diavola</v>
      </c>
      <c r="U21" s="47">
        <v>69771</v>
      </c>
      <c r="V21" s="48"/>
      <c r="W21" s="21"/>
      <c r="Y21" s="19" t="str">
        <v>Diavola</v>
      </c>
      <c r="Z21" s="47">
        <v>69771</v>
      </c>
      <c r="AA21" s="48">
        <v>0.55000000000000004</v>
      </c>
      <c r="AB21" s="21">
        <v>44592</v>
      </c>
    </row>
    <row r="22" spans="3:28">
      <c r="C22" s="19" t="s">
        <v>96</v>
      </c>
      <c r="D22" s="19" t="s">
        <v>51</v>
      </c>
      <c r="E22" s="47">
        <v>48267</v>
      </c>
      <c r="F22" s="20">
        <v>0.41</v>
      </c>
      <c r="G22" s="21">
        <v>44562</v>
      </c>
      <c r="T22" s="19" t="str">
        <v>SalsicciaFriarielli</v>
      </c>
      <c r="U22" s="47">
        <v>82372</v>
      </c>
      <c r="V22" s="48"/>
      <c r="W22" s="21"/>
      <c r="Y22" s="19" t="str">
        <v>SalsicciaFriarielli</v>
      </c>
      <c r="Z22" s="47">
        <v>82372</v>
      </c>
      <c r="AA22" s="48">
        <v>0.84</v>
      </c>
      <c r="AB22" s="21">
        <v>44562</v>
      </c>
    </row>
    <row r="23" spans="3:28">
      <c r="C23" s="19" t="s">
        <v>96</v>
      </c>
      <c r="D23" s="19" t="s">
        <v>52</v>
      </c>
      <c r="E23" s="47">
        <v>23286</v>
      </c>
      <c r="F23" s="20">
        <v>0.49</v>
      </c>
      <c r="G23" s="21">
        <v>44587</v>
      </c>
      <c r="T23" s="19" t="str">
        <v>Calzone</v>
      </c>
      <c r="U23" s="47">
        <v>54226</v>
      </c>
      <c r="V23" s="48"/>
      <c r="W23" s="21"/>
      <c r="Y23" s="19" t="str">
        <v>Calzone</v>
      </c>
      <c r="Z23" s="47">
        <v>54226</v>
      </c>
      <c r="AA23" s="48">
        <v>0.66</v>
      </c>
      <c r="AB23" s="21">
        <v>44562</v>
      </c>
    </row>
    <row r="24" spans="3:28">
      <c r="C24" s="19" t="s">
        <v>96</v>
      </c>
      <c r="D24" s="19" t="s">
        <v>53</v>
      </c>
      <c r="E24" s="47">
        <v>11234</v>
      </c>
      <c r="F24" s="20">
        <v>0.22</v>
      </c>
      <c r="G24" s="21">
        <v>44587</v>
      </c>
      <c r="T24" s="19" t="str">
        <v>Bufala</v>
      </c>
      <c r="U24" s="47">
        <v>80248</v>
      </c>
      <c r="V24" s="48"/>
      <c r="W24" s="21"/>
      <c r="Y24" s="19" t="str">
        <v>Bufala</v>
      </c>
      <c r="Z24" s="47">
        <v>80248</v>
      </c>
      <c r="AA24" s="48">
        <v>0.88</v>
      </c>
      <c r="AB24" s="21">
        <v>44562</v>
      </c>
    </row>
    <row r="25" spans="3:28">
      <c r="C25" s="19" t="s">
        <v>96</v>
      </c>
      <c r="D25" s="19" t="s">
        <v>54</v>
      </c>
      <c r="E25" s="47">
        <v>39520</v>
      </c>
      <c r="F25" s="20">
        <v>0.35</v>
      </c>
      <c r="G25" s="21">
        <v>44591</v>
      </c>
    </row>
    <row r="26" spans="3:28">
      <c r="C26" s="19" t="s">
        <v>96</v>
      </c>
      <c r="D26" s="19" t="s">
        <v>55</v>
      </c>
      <c r="E26" s="47">
        <v>33053</v>
      </c>
      <c r="F26" s="20">
        <v>0.4</v>
      </c>
      <c r="G26" s="21">
        <v>44562</v>
      </c>
    </row>
    <row r="27" spans="3:28">
      <c r="C27" s="19" t="s">
        <v>96</v>
      </c>
      <c r="D27" s="19" t="s">
        <v>56</v>
      </c>
      <c r="E27" s="47">
        <v>52288</v>
      </c>
      <c r="F27" s="20">
        <v>0.51</v>
      </c>
      <c r="G27" s="21">
        <v>44562</v>
      </c>
    </row>
    <row r="28" spans="3:28">
      <c r="C28" s="19" t="s">
        <v>96</v>
      </c>
      <c r="D28" s="19" t="s">
        <v>57</v>
      </c>
      <c r="E28" s="47">
        <v>32262</v>
      </c>
      <c r="F28" s="20">
        <v>0.38</v>
      </c>
      <c r="G28" s="21">
        <v>44562</v>
      </c>
    </row>
    <row r="29" spans="3:28">
      <c r="C29" s="19" t="s">
        <v>96</v>
      </c>
      <c r="D29" s="19" t="s">
        <v>58</v>
      </c>
      <c r="E29" s="47">
        <v>29191</v>
      </c>
      <c r="F29" s="20">
        <v>0.33</v>
      </c>
      <c r="G29" s="21">
        <v>44586</v>
      </c>
      <c r="J29" s="47"/>
      <c r="K29" s="48"/>
      <c r="L29" s="21"/>
    </row>
    <row r="30" spans="3:28">
      <c r="C30" s="19" t="s">
        <v>96</v>
      </c>
      <c r="D30" s="19" t="s">
        <v>59</v>
      </c>
      <c r="E30" s="47">
        <v>6538</v>
      </c>
      <c r="F30" s="20">
        <v>0.05</v>
      </c>
      <c r="G30" s="21">
        <v>44581</v>
      </c>
      <c r="J30" s="47"/>
      <c r="K30" s="48"/>
      <c r="L30" s="23"/>
    </row>
    <row r="34" spans="2:14">
      <c r="I34" s="25" t="s">
        <v>91</v>
      </c>
      <c r="J34" s="26" t="s">
        <v>90</v>
      </c>
      <c r="K34" s="26" t="s">
        <v>93</v>
      </c>
      <c r="L34" s="22"/>
    </row>
    <row r="35" spans="2:14" ht="13.9" customHeight="1">
      <c r="B35" s="8"/>
      <c r="I35" s="19" t="s">
        <v>23</v>
      </c>
      <c r="J35" s="47" t="str">
        <f>INDEX(TblPizza[Category],MATCH(I35,TblPizza[Pizza],0))</f>
        <v>Classic</v>
      </c>
      <c r="K35" s="48"/>
      <c r="L35" s="21"/>
      <c r="N35" s="19" t="s">
        <v>97</v>
      </c>
    </row>
    <row r="36" spans="2:14" ht="13.9" customHeight="1">
      <c r="B36" s="8"/>
      <c r="I36" s="19" t="s">
        <v>49</v>
      </c>
      <c r="J36" s="47" t="str" cm="1">
        <f t="array" ref="J36:K36">_xlfn.XLOOKUP(I36,TblPizza[Pizza],CHOOSE({1,2},TblPizza[Category],TblPizza[Rating]))</f>
        <v>Specials</v>
      </c>
      <c r="K36" s="48">
        <v>0.47</v>
      </c>
      <c r="L36" s="21"/>
      <c r="N36" s="19" t="s">
        <v>98</v>
      </c>
    </row>
    <row r="37" spans="2:14" ht="13.9" customHeight="1">
      <c r="B37" s="8"/>
      <c r="J37" s="47"/>
      <c r="K37" s="48"/>
      <c r="L37" s="21"/>
    </row>
    <row r="38" spans="2:14" ht="13.9" customHeight="1">
      <c r="B38" s="8"/>
      <c r="J38" s="47"/>
      <c r="K38" s="48"/>
      <c r="L38" s="21"/>
    </row>
    <row r="39" spans="2:14" ht="13.9" customHeight="1">
      <c r="B39" s="8"/>
      <c r="J39" s="47"/>
      <c r="K39" s="48"/>
      <c r="L39" s="21"/>
    </row>
    <row r="40" spans="2:14">
      <c r="J40" s="47"/>
      <c r="K40" s="48"/>
      <c r="L40" s="21"/>
    </row>
    <row r="41" spans="2:14">
      <c r="J41" s="47"/>
      <c r="K41" s="48"/>
      <c r="L41" s="21"/>
    </row>
  </sheetData>
  <mergeCells count="2">
    <mergeCell ref="C2:F6"/>
    <mergeCell ref="H2:O6"/>
  </mergeCells>
  <conditionalFormatting sqref="F9:F30">
    <cfRule type="iconSet" priority="5">
      <iconSet iconSet="3Symbols">
        <cfvo type="percent" val="0"/>
        <cfvo type="percent" val="10"/>
        <cfvo type="percent" val="40"/>
      </iconSet>
    </cfRule>
  </conditionalFormatting>
  <conditionalFormatting sqref="K9:K16">
    <cfRule type="iconSet" priority="4">
      <iconSet iconSet="3Symbols">
        <cfvo type="percent" val="0"/>
        <cfvo type="num" val="0.1"/>
        <cfvo type="num" val="0.4"/>
      </iconSet>
    </cfRule>
  </conditionalFormatting>
  <conditionalFormatting sqref="K29 K35:K41">
    <cfRule type="iconSet" priority="3">
      <iconSet iconSet="3Symbols">
        <cfvo type="percent" val="0"/>
        <cfvo type="num" val="0.1"/>
        <cfvo type="num" val="0.4"/>
      </iconSet>
    </cfRule>
  </conditionalFormatting>
  <conditionalFormatting sqref="V15:V24">
    <cfRule type="iconSet" priority="2">
      <iconSet iconSet="3Symbols">
        <cfvo type="percent" val="0"/>
        <cfvo type="num" val="0.1"/>
        <cfvo type="num" val="0.4"/>
      </iconSet>
    </cfRule>
  </conditionalFormatting>
  <conditionalFormatting sqref="AA15:AA24">
    <cfRule type="iconSet" priority="1">
      <iconSet iconSet="3Symbols">
        <cfvo type="percent" val="0"/>
        <cfvo type="num" val="0.1"/>
        <cfvo type="num" val="0.4"/>
      </iconSet>
    </cfRule>
  </conditionalFormatting>
  <hyperlinks>
    <hyperlink ref="Q2" location="'About and Summary'!A1" display="Home" xr:uid="{2B8AB0CA-AC0B-408D-998B-66703F796027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FEDD1-E637-478D-8A84-3FA7A89C483A}">
  <sheetPr>
    <tabColor theme="9" tint="0.59999389629810485"/>
  </sheetPr>
  <dimension ref="A1:Q30"/>
  <sheetViews>
    <sheetView showGridLines="0" topLeftCell="A6" workbookViewId="0">
      <selection activeCell="J22" sqref="J22:J29"/>
    </sheetView>
  </sheetViews>
  <sheetFormatPr defaultColWidth="8.85546875" defaultRowHeight="12.75"/>
  <cols>
    <col min="1" max="2" width="8.85546875" style="27"/>
    <col min="3" max="3" width="10.28515625" style="19" bestFit="1" customWidth="1"/>
    <col min="4" max="4" width="16.42578125" style="19" bestFit="1" customWidth="1"/>
    <col min="5" max="6" width="8.85546875" style="19"/>
    <col min="7" max="7" width="11.7109375" style="19" bestFit="1" customWidth="1"/>
    <col min="8" max="8" width="8.85546875" style="27"/>
    <col min="9" max="9" width="16.42578125" style="19" bestFit="1" customWidth="1"/>
    <col min="10" max="10" width="9.7109375" style="19" bestFit="1" customWidth="1"/>
    <col min="11" max="11" width="9" style="19" customWidth="1"/>
    <col min="12" max="12" width="11.7109375" style="19" bestFit="1" customWidth="1"/>
    <col min="13" max="16384" width="8.85546875" style="27"/>
  </cols>
  <sheetData>
    <row r="1" spans="1:17" s="29" customFormat="1" ht="13.5" thickBot="1">
      <c r="A1" s="28" t="s">
        <v>99</v>
      </c>
    </row>
    <row r="2" spans="1:17" ht="13.5" thickTop="1">
      <c r="A2" s="19"/>
      <c r="B2" s="8"/>
      <c r="C2" s="99" t="s">
        <v>8</v>
      </c>
      <c r="D2" s="99"/>
      <c r="E2" s="99"/>
      <c r="F2" s="99"/>
      <c r="H2" s="100" t="s">
        <v>11</v>
      </c>
      <c r="I2" s="100"/>
      <c r="J2" s="100"/>
      <c r="K2" s="100"/>
      <c r="L2" s="100"/>
      <c r="M2" s="100"/>
      <c r="N2" s="100"/>
      <c r="O2" s="100"/>
      <c r="Q2" s="49" t="s">
        <v>88</v>
      </c>
    </row>
    <row r="3" spans="1:17">
      <c r="A3" s="19"/>
      <c r="B3" s="8"/>
      <c r="C3" s="99"/>
      <c r="D3" s="99"/>
      <c r="E3" s="99"/>
      <c r="F3" s="99"/>
      <c r="H3" s="100"/>
      <c r="I3" s="100"/>
      <c r="J3" s="100"/>
      <c r="K3" s="100"/>
      <c r="L3" s="100"/>
      <c r="M3" s="100"/>
      <c r="N3" s="100"/>
      <c r="O3" s="100"/>
    </row>
    <row r="4" spans="1:17">
      <c r="A4" s="19"/>
      <c r="B4" s="8"/>
      <c r="C4" s="99"/>
      <c r="D4" s="99"/>
      <c r="E4" s="99"/>
      <c r="F4" s="99"/>
      <c r="H4" s="100"/>
      <c r="I4" s="100"/>
      <c r="J4" s="100"/>
      <c r="K4" s="100"/>
      <c r="L4" s="100"/>
      <c r="M4" s="100"/>
      <c r="N4" s="100"/>
      <c r="O4" s="100"/>
    </row>
    <row r="5" spans="1:17">
      <c r="A5" s="19"/>
      <c r="B5" s="8"/>
      <c r="C5" s="99"/>
      <c r="D5" s="99"/>
      <c r="E5" s="99"/>
      <c r="F5" s="99"/>
      <c r="H5" s="100"/>
      <c r="I5" s="100"/>
      <c r="J5" s="100"/>
      <c r="K5" s="100"/>
      <c r="L5" s="100"/>
      <c r="M5" s="100"/>
      <c r="N5" s="100"/>
      <c r="O5" s="100"/>
    </row>
    <row r="6" spans="1:17">
      <c r="A6" s="19"/>
      <c r="B6" s="8"/>
      <c r="C6" s="99"/>
      <c r="D6" s="99"/>
      <c r="E6" s="99"/>
      <c r="F6" s="99"/>
      <c r="H6" s="100"/>
      <c r="I6" s="100"/>
      <c r="J6" s="100"/>
      <c r="K6" s="100"/>
      <c r="L6" s="100"/>
      <c r="M6" s="100"/>
      <c r="N6" s="100"/>
      <c r="O6" s="100"/>
    </row>
    <row r="7" spans="1:17" ht="12.75" customHeight="1">
      <c r="A7" s="19"/>
      <c r="B7" s="8"/>
      <c r="C7" s="50"/>
      <c r="D7" s="50"/>
      <c r="E7" s="50"/>
      <c r="F7" s="50"/>
    </row>
    <row r="8" spans="1:17">
      <c r="C8" s="24" t="s">
        <v>90</v>
      </c>
      <c r="D8" s="24" t="s">
        <v>91</v>
      </c>
      <c r="E8" s="24" t="s">
        <v>92</v>
      </c>
      <c r="F8" s="24" t="s">
        <v>93</v>
      </c>
      <c r="G8" s="24" t="s">
        <v>94</v>
      </c>
      <c r="I8" s="25" t="s">
        <v>91</v>
      </c>
      <c r="J8" s="26" t="s">
        <v>92</v>
      </c>
      <c r="K8" s="26" t="s">
        <v>93</v>
      </c>
      <c r="L8" s="26" t="s">
        <v>94</v>
      </c>
    </row>
    <row r="9" spans="1:17">
      <c r="C9" s="19" t="s">
        <v>95</v>
      </c>
      <c r="D9" s="19" t="s">
        <v>23</v>
      </c>
      <c r="E9" s="47">
        <v>84765</v>
      </c>
      <c r="F9" s="20">
        <v>0.95</v>
      </c>
      <c r="G9" s="21">
        <v>44562</v>
      </c>
      <c r="I9" s="19" t="s">
        <v>23</v>
      </c>
      <c r="J9" s="84">
        <f>VLOOKUP(I9,TblPizza2[[Pizza]:[Last purchase]],2,FALSE)</f>
        <v>84765</v>
      </c>
      <c r="K9" s="48">
        <f>VLOOKUP(I9,TblPizza2[[Pizza]:[Last purchase]],3,FALSE)</f>
        <v>0.95</v>
      </c>
      <c r="L9" s="21">
        <f>VLOOKUP(I9,TblPizza2[[Pizza]:[Last purchase]],4,FALSE)</f>
        <v>44562</v>
      </c>
      <c r="O9" s="19" t="str">
        <f ca="1">_xlfn.FORMULATEXT(J9)</f>
        <v>=VLOOKUP(I9,TblPizza2[[Pizza]:[Last purchase]],2,FALSE)</v>
      </c>
    </row>
    <row r="10" spans="1:17">
      <c r="C10" s="19" t="s">
        <v>95</v>
      </c>
      <c r="D10" s="19" t="s">
        <v>39</v>
      </c>
      <c r="E10" s="47">
        <v>66702</v>
      </c>
      <c r="F10" s="20">
        <v>0.75</v>
      </c>
      <c r="G10" s="21">
        <v>44562</v>
      </c>
      <c r="I10" s="19" t="s">
        <v>39</v>
      </c>
      <c r="J10" s="84">
        <f>VLOOKUP(I10,TblPizza2[[Pizza]:[Last purchase]],2,FALSE)</f>
        <v>66702</v>
      </c>
      <c r="K10" s="48">
        <f>VLOOKUP(I10,TblPizza2[[Pizza]:[Last purchase]],3,FALSE)</f>
        <v>0.75</v>
      </c>
      <c r="L10" s="21">
        <f>VLOOKUP(I10,TblPizza2[[Pizza]:[Last purchase]],4,FALSE)</f>
        <v>44562</v>
      </c>
    </row>
    <row r="11" spans="1:17">
      <c r="C11" s="19" t="s">
        <v>95</v>
      </c>
      <c r="D11" s="19" t="s">
        <v>40</v>
      </c>
      <c r="E11" s="47">
        <v>60291</v>
      </c>
      <c r="F11" s="20">
        <v>0.81</v>
      </c>
      <c r="G11" s="21">
        <v>44592</v>
      </c>
      <c r="I11" s="19" t="s">
        <v>41</v>
      </c>
      <c r="J11" s="84">
        <f>VLOOKUP(I11,TblPizza2[[Pizza]:[Last purchase]],2,FALSE)</f>
        <v>52544</v>
      </c>
      <c r="K11" s="48">
        <f>VLOOKUP(I11,TblPizza2[[Pizza]:[Last purchase]],3,FALSE)</f>
        <v>0.72</v>
      </c>
      <c r="L11" s="21">
        <f>VLOOKUP(I11,TblPizza2[[Pizza]:[Last purchase]],4,FALSE)</f>
        <v>44592</v>
      </c>
    </row>
    <row r="12" spans="1:17">
      <c r="C12" s="19" t="s">
        <v>95</v>
      </c>
      <c r="D12" s="19" t="s">
        <v>41</v>
      </c>
      <c r="E12" s="47">
        <v>52544</v>
      </c>
      <c r="F12" s="20">
        <v>0.72</v>
      </c>
      <c r="G12" s="21">
        <v>44592</v>
      </c>
      <c r="I12" s="19" t="s">
        <v>45</v>
      </c>
      <c r="J12" s="84">
        <f>VLOOKUP(I12,TblPizza2[[Pizza]:[Last purchase]],2,FALSE)</f>
        <v>82372</v>
      </c>
      <c r="K12" s="48">
        <f>VLOOKUP(I12,TblPizza2[[Pizza]:[Last purchase]],3,FALSE)</f>
        <v>0.84</v>
      </c>
      <c r="L12" s="21">
        <f>VLOOKUP(I12,TblPizza2[[Pizza]:[Last purchase]],4,FALSE)</f>
        <v>44562</v>
      </c>
    </row>
    <row r="13" spans="1:17">
      <c r="C13" s="19" t="s">
        <v>95</v>
      </c>
      <c r="D13" s="19" t="s">
        <v>42</v>
      </c>
      <c r="E13" s="47">
        <v>62342</v>
      </c>
      <c r="F13" s="20">
        <v>0.6</v>
      </c>
      <c r="G13" s="21">
        <v>44562</v>
      </c>
      <c r="I13" s="19" t="s">
        <v>54</v>
      </c>
      <c r="J13" s="84">
        <f>IFERROR(VLOOKUP(I13,TblPizza2[[Pizza]:[Last purchase]],2,FALSE),"Not found")</f>
        <v>39520</v>
      </c>
      <c r="K13" s="48">
        <f>VLOOKUP(I13,TblPizza2[[Pizza]:[Last purchase]],3,FALSE)</f>
        <v>0.35</v>
      </c>
      <c r="L13" s="21">
        <f>VLOOKUP(I13,TblPizza2[[Pizza]:[Last purchase]],4,FALSE)</f>
        <v>44591</v>
      </c>
    </row>
    <row r="14" spans="1:17">
      <c r="C14" s="19" t="s">
        <v>95</v>
      </c>
      <c r="D14" s="19" t="s">
        <v>43</v>
      </c>
      <c r="E14" s="47">
        <v>62010</v>
      </c>
      <c r="F14" s="20">
        <v>0.69</v>
      </c>
      <c r="G14" s="21">
        <v>44562</v>
      </c>
      <c r="I14" s="19" t="s">
        <v>57</v>
      </c>
      <c r="J14" s="84">
        <f>VLOOKUP(I14,TblPizza2[[Pizza]:[Last purchase]],2,FALSE)</f>
        <v>32262</v>
      </c>
      <c r="K14" s="48">
        <f>VLOOKUP(I14,TblPizza2[[Pizza]:[Last purchase]],3,FALSE)</f>
        <v>0.38</v>
      </c>
      <c r="L14" s="21">
        <f>VLOOKUP(I14,TblPizza2[[Pizza]:[Last purchase]],4,FALSE)</f>
        <v>44562</v>
      </c>
    </row>
    <row r="15" spans="1:17">
      <c r="C15" s="19" t="s">
        <v>95</v>
      </c>
      <c r="D15" s="19" t="s">
        <v>44</v>
      </c>
      <c r="E15" s="47">
        <v>69771</v>
      </c>
      <c r="F15" s="20">
        <v>0.55000000000000004</v>
      </c>
      <c r="G15" s="21">
        <v>44592</v>
      </c>
      <c r="I15" s="19" t="s">
        <v>58</v>
      </c>
      <c r="J15" s="84">
        <f>VLOOKUP(I15,TblPizza2[[Pizza]:[Last purchase]],2,FALSE)</f>
        <v>29191</v>
      </c>
      <c r="K15" s="48">
        <f>VLOOKUP(I15,TblPizza2[[Pizza]:[Last purchase]],3,FALSE)</f>
        <v>0.33</v>
      </c>
      <c r="L15" s="21">
        <f>VLOOKUP(I15,TblPizza2[[Pizza]:[Last purchase]],4,FALSE)</f>
        <v>44586</v>
      </c>
    </row>
    <row r="16" spans="1:17">
      <c r="C16" s="19" t="s">
        <v>95</v>
      </c>
      <c r="D16" s="19" t="s">
        <v>45</v>
      </c>
      <c r="E16" s="47">
        <v>82372</v>
      </c>
      <c r="F16" s="20">
        <v>0.84</v>
      </c>
      <c r="G16" s="21">
        <v>44562</v>
      </c>
      <c r="I16" s="19" t="s">
        <v>59</v>
      </c>
      <c r="J16" s="84">
        <f>VLOOKUP(I16,TblPizza2[[Pizza]:[Last purchase]],2,FALSE)</f>
        <v>6538</v>
      </c>
      <c r="K16" s="48">
        <f>VLOOKUP(I16,TblPizza2[[Pizza]:[Last purchase]],3,FALSE)</f>
        <v>0.05</v>
      </c>
      <c r="L16" s="21">
        <f>VLOOKUP(I16,TblPizza2[[Pizza]:[Last purchase]],4,FALSE)</f>
        <v>44581</v>
      </c>
    </row>
    <row r="17" spans="3:15">
      <c r="C17" s="19" t="s">
        <v>95</v>
      </c>
      <c r="D17" s="19" t="s">
        <v>46</v>
      </c>
      <c r="E17" s="47">
        <v>54226</v>
      </c>
      <c r="F17" s="20">
        <v>0.66</v>
      </c>
      <c r="G17" s="21">
        <v>44562</v>
      </c>
      <c r="J17" s="47"/>
      <c r="K17" s="48"/>
      <c r="L17" s="21"/>
    </row>
    <row r="18" spans="3:15">
      <c r="C18" s="19" t="s">
        <v>95</v>
      </c>
      <c r="D18" s="19" t="s">
        <v>47</v>
      </c>
      <c r="E18" s="47">
        <v>80248</v>
      </c>
      <c r="F18" s="20">
        <v>0.88</v>
      </c>
      <c r="G18" s="21">
        <v>44562</v>
      </c>
      <c r="J18" s="47"/>
      <c r="K18" s="48"/>
      <c r="L18" s="21"/>
    </row>
    <row r="19" spans="3:15">
      <c r="C19" s="19" t="s">
        <v>96</v>
      </c>
      <c r="D19" s="19" t="s">
        <v>48</v>
      </c>
      <c r="E19" s="47">
        <v>40719</v>
      </c>
      <c r="F19" s="20">
        <v>0.6</v>
      </c>
      <c r="G19" s="21">
        <v>44562</v>
      </c>
      <c r="J19" s="47"/>
      <c r="K19" s="48"/>
      <c r="L19" s="21"/>
    </row>
    <row r="20" spans="3:15">
      <c r="C20" s="19" t="s">
        <v>96</v>
      </c>
      <c r="D20" s="19" t="s">
        <v>49</v>
      </c>
      <c r="E20" s="47">
        <v>16866</v>
      </c>
      <c r="F20" s="20">
        <v>0.47</v>
      </c>
      <c r="G20" s="21">
        <v>44592</v>
      </c>
    </row>
    <row r="21" spans="3:15">
      <c r="C21" s="19" t="s">
        <v>96</v>
      </c>
      <c r="D21" s="19" t="s">
        <v>50</v>
      </c>
      <c r="E21" s="47">
        <v>44716</v>
      </c>
      <c r="F21" s="20">
        <v>0.48</v>
      </c>
      <c r="G21" s="21">
        <v>44562</v>
      </c>
      <c r="I21" s="25" t="s">
        <v>91</v>
      </c>
      <c r="J21" s="26" t="s">
        <v>92</v>
      </c>
      <c r="K21" s="26" t="s">
        <v>93</v>
      </c>
      <c r="L21" s="26" t="s">
        <v>94</v>
      </c>
    </row>
    <row r="22" spans="3:15">
      <c r="C22" s="19" t="s">
        <v>96</v>
      </c>
      <c r="D22" s="19" t="s">
        <v>51</v>
      </c>
      <c r="E22" s="47">
        <v>48267</v>
      </c>
      <c r="F22" s="20">
        <v>0.41</v>
      </c>
      <c r="G22" s="21">
        <v>44562</v>
      </c>
      <c r="I22" s="19" t="s">
        <v>23</v>
      </c>
      <c r="J22" s="85" cm="1">
        <f t="array" ref="J22:L22">_xlfn.XLOOKUP(I22,TblPizza2[Pizza],TblPizza2[[Quantity]:[Last purchase]],"not found")</f>
        <v>84765</v>
      </c>
      <c r="K22" s="48">
        <v>0.95</v>
      </c>
      <c r="L22" s="21">
        <v>44562</v>
      </c>
      <c r="O22" s="19" t="str">
        <f ca="1">_xlfn.FORMULATEXT(J22)</f>
        <v>=XLOOKUP(I22,TblPizza2[Pizza],TblPizza2[[Quantity]:[Last purchase]],"not found")</v>
      </c>
    </row>
    <row r="23" spans="3:15">
      <c r="C23" s="19" t="s">
        <v>96</v>
      </c>
      <c r="D23" s="19" t="s">
        <v>52</v>
      </c>
      <c r="E23" s="47">
        <v>23286</v>
      </c>
      <c r="F23" s="20">
        <v>0.49</v>
      </c>
      <c r="G23" s="21">
        <v>44587</v>
      </c>
      <c r="I23" s="19" t="s">
        <v>100</v>
      </c>
      <c r="J23" s="85" t="str" cm="1">
        <f t="array" ref="J23">_xlfn.XLOOKUP(I23,TblPizza2[Pizza],TblPizza2[[Quantity]:[Last purchase]],"not found")</f>
        <v>not found</v>
      </c>
      <c r="K23" s="48"/>
      <c r="L23" s="21"/>
    </row>
    <row r="24" spans="3:15">
      <c r="C24" s="19" t="s">
        <v>96</v>
      </c>
      <c r="D24" s="19" t="s">
        <v>53</v>
      </c>
      <c r="E24" s="47">
        <v>11234</v>
      </c>
      <c r="F24" s="20">
        <v>0.22</v>
      </c>
      <c r="G24" s="21">
        <v>44587</v>
      </c>
      <c r="I24" s="19" t="s">
        <v>41</v>
      </c>
      <c r="J24" s="85" cm="1">
        <f t="array" ref="J24:L24">_xlfn.XLOOKUP(I24,TblPizza2[Pizza],TblPizza2[[Quantity]:[Last purchase]],"not found")</f>
        <v>52544</v>
      </c>
      <c r="K24" s="48">
        <v>0.72</v>
      </c>
      <c r="L24" s="21">
        <v>44592</v>
      </c>
    </row>
    <row r="25" spans="3:15">
      <c r="C25" s="19" t="s">
        <v>96</v>
      </c>
      <c r="D25" s="19" t="s">
        <v>54</v>
      </c>
      <c r="E25" s="47">
        <v>39520</v>
      </c>
      <c r="F25" s="20">
        <v>0.35</v>
      </c>
      <c r="G25" s="21">
        <v>44591</v>
      </c>
      <c r="I25" s="19" t="s">
        <v>45</v>
      </c>
      <c r="J25" s="85" cm="1">
        <f t="array" ref="J25:L25">_xlfn.XLOOKUP(I25,TblPizza2[Pizza],TblPizza2[[Quantity]:[Last purchase]],"not found")</f>
        <v>82372</v>
      </c>
      <c r="K25" s="48">
        <v>0.84</v>
      </c>
      <c r="L25" s="21">
        <v>44562</v>
      </c>
    </row>
    <row r="26" spans="3:15">
      <c r="C26" s="19" t="s">
        <v>96</v>
      </c>
      <c r="D26" s="19" t="s">
        <v>55</v>
      </c>
      <c r="E26" s="47">
        <v>33053</v>
      </c>
      <c r="F26" s="20">
        <v>0.4</v>
      </c>
      <c r="G26" s="21">
        <v>44562</v>
      </c>
      <c r="I26" s="19" t="s">
        <v>101</v>
      </c>
      <c r="J26" s="85" t="str" cm="1">
        <f t="array" ref="J26">_xlfn.XLOOKUP(I26,TblPizza2[Pizza],TblPizza2[[Quantity]:[Last purchase]],"not found")</f>
        <v>not found</v>
      </c>
      <c r="K26" s="48"/>
      <c r="L26" s="21"/>
    </row>
    <row r="27" spans="3:15">
      <c r="C27" s="19" t="s">
        <v>96</v>
      </c>
      <c r="D27" s="19" t="s">
        <v>56</v>
      </c>
      <c r="E27" s="47">
        <v>52288</v>
      </c>
      <c r="F27" s="20">
        <v>0.51</v>
      </c>
      <c r="G27" s="21">
        <v>44562</v>
      </c>
      <c r="I27" s="19" t="s">
        <v>57</v>
      </c>
      <c r="J27" s="85" cm="1">
        <f t="array" ref="J27:L27">_xlfn.XLOOKUP(I27,TblPizza2[Pizza],TblPizza2[[Quantity]:[Last purchase]],"not found")</f>
        <v>32262</v>
      </c>
      <c r="K27" s="48">
        <v>0.38</v>
      </c>
      <c r="L27" s="21">
        <v>44562</v>
      </c>
    </row>
    <row r="28" spans="3:15">
      <c r="C28" s="19" t="s">
        <v>96</v>
      </c>
      <c r="D28" s="19" t="s">
        <v>57</v>
      </c>
      <c r="E28" s="47">
        <v>32262</v>
      </c>
      <c r="F28" s="20">
        <v>0.38</v>
      </c>
      <c r="G28" s="21">
        <v>44562</v>
      </c>
      <c r="I28" s="19" t="s">
        <v>58</v>
      </c>
      <c r="J28" s="85" cm="1">
        <f t="array" ref="J28:L28">_xlfn.XLOOKUP(I28,TblPizza2[Pizza],TblPizza2[[Quantity]:[Last purchase]],"not found")</f>
        <v>29191</v>
      </c>
      <c r="K28" s="48">
        <v>0.33</v>
      </c>
      <c r="L28" s="21">
        <v>44586</v>
      </c>
    </row>
    <row r="29" spans="3:15">
      <c r="C29" s="19" t="s">
        <v>96</v>
      </c>
      <c r="D29" s="19" t="s">
        <v>58</v>
      </c>
      <c r="E29" s="47">
        <v>29191</v>
      </c>
      <c r="F29" s="20">
        <v>0.33</v>
      </c>
      <c r="G29" s="21">
        <v>44586</v>
      </c>
      <c r="I29" s="19" t="s">
        <v>102</v>
      </c>
      <c r="J29" s="85" t="str" cm="1">
        <f t="array" ref="J29">_xlfn.XLOOKUP(I29,TblPizza2[Pizza],TblPizza2[[Quantity]:[Last purchase]],"not found")</f>
        <v>not found</v>
      </c>
      <c r="K29" s="48"/>
      <c r="L29" s="21"/>
    </row>
    <row r="30" spans="3:15">
      <c r="C30" s="19" t="s">
        <v>96</v>
      </c>
      <c r="D30" s="19" t="s">
        <v>59</v>
      </c>
      <c r="E30" s="47">
        <v>6538</v>
      </c>
      <c r="F30" s="20">
        <v>0.05</v>
      </c>
      <c r="G30" s="21">
        <v>44581</v>
      </c>
    </row>
  </sheetData>
  <mergeCells count="2">
    <mergeCell ref="C2:F6"/>
    <mergeCell ref="H2:O6"/>
  </mergeCells>
  <conditionalFormatting sqref="F9:F30">
    <cfRule type="iconSet" priority="3">
      <iconSet iconSet="3Symbols">
        <cfvo type="percent" val="0"/>
        <cfvo type="percent" val="10"/>
        <cfvo type="percent" val="40"/>
      </iconSet>
    </cfRule>
  </conditionalFormatting>
  <conditionalFormatting sqref="K9:K16">
    <cfRule type="iconSet" priority="2">
      <iconSet iconSet="3Symbols">
        <cfvo type="percent" val="0"/>
        <cfvo type="num" val="0.1"/>
        <cfvo type="num" val="0.4"/>
      </iconSet>
    </cfRule>
  </conditionalFormatting>
  <conditionalFormatting sqref="K22:K29">
    <cfRule type="iconSet" priority="1">
      <iconSet iconSet="3Symbols">
        <cfvo type="percent" val="0"/>
        <cfvo type="num" val="0.1"/>
        <cfvo type="num" val="0.4"/>
      </iconSet>
    </cfRule>
  </conditionalFormatting>
  <hyperlinks>
    <hyperlink ref="Q2" location="'About and Summary'!A1" display="Home" xr:uid="{72EA6FCA-76EB-45FA-A8D4-09BE723D9E2E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67D46-F01A-453B-ACAD-8D14F1F57FCE}">
  <sheetPr>
    <tabColor theme="9" tint="0.59999389629810485"/>
  </sheetPr>
  <dimension ref="A1:S30"/>
  <sheetViews>
    <sheetView showGridLines="0" workbookViewId="0">
      <selection activeCell="N17" sqref="N17"/>
    </sheetView>
  </sheetViews>
  <sheetFormatPr defaultColWidth="8.85546875" defaultRowHeight="12.75"/>
  <cols>
    <col min="1" max="2" width="2.7109375" style="27" customWidth="1"/>
    <col min="3" max="3" width="10.28515625" style="19" bestFit="1" customWidth="1"/>
    <col min="4" max="4" width="15" style="19" customWidth="1"/>
    <col min="5" max="6" width="9" style="19" bestFit="1" customWidth="1"/>
    <col min="7" max="7" width="11.7109375" style="19" bestFit="1" customWidth="1"/>
    <col min="8" max="8" width="17" style="27" bestFit="1" customWidth="1"/>
    <col min="9" max="9" width="20.7109375" style="27" bestFit="1" customWidth="1"/>
    <col min="10" max="10" width="17.28515625" style="27" bestFit="1" customWidth="1"/>
    <col min="11" max="12" width="1.7109375" style="27" customWidth="1"/>
    <col min="13" max="13" width="7.7109375" style="27" bestFit="1" customWidth="1"/>
    <col min="14" max="14" width="12.5703125" style="27" bestFit="1" customWidth="1"/>
    <col min="15" max="15" width="6.28515625" style="27" customWidth="1"/>
    <col min="16" max="16" width="25.5703125" style="27" customWidth="1"/>
    <col min="17" max="16384" width="8.85546875" style="27"/>
  </cols>
  <sheetData>
    <row r="1" spans="1:19" s="29" customFormat="1" ht="13.5" thickBot="1">
      <c r="A1" s="28" t="s">
        <v>103</v>
      </c>
    </row>
    <row r="2" spans="1:19" ht="13.5" thickTop="1">
      <c r="A2" s="19"/>
      <c r="B2" s="8"/>
      <c r="C2" s="99" t="s">
        <v>8</v>
      </c>
      <c r="D2" s="99"/>
      <c r="E2" s="99"/>
      <c r="F2" s="99"/>
      <c r="H2" s="100" t="s">
        <v>11</v>
      </c>
      <c r="I2" s="100"/>
      <c r="J2" s="100"/>
      <c r="K2" s="100"/>
      <c r="L2" s="100"/>
      <c r="M2" s="100"/>
      <c r="N2" s="100"/>
      <c r="O2" s="100"/>
      <c r="Q2" s="49" t="s">
        <v>88</v>
      </c>
    </row>
    <row r="3" spans="1:19">
      <c r="A3" s="19"/>
      <c r="B3" s="8"/>
      <c r="C3" s="99"/>
      <c r="D3" s="99"/>
      <c r="E3" s="99"/>
      <c r="F3" s="99"/>
      <c r="H3" s="100"/>
      <c r="I3" s="100"/>
      <c r="J3" s="100"/>
      <c r="K3" s="100"/>
      <c r="L3" s="100"/>
      <c r="M3" s="100"/>
      <c r="N3" s="100"/>
      <c r="O3" s="100"/>
    </row>
    <row r="4" spans="1:19">
      <c r="A4" s="19"/>
      <c r="B4" s="8"/>
      <c r="C4" s="99"/>
      <c r="D4" s="99"/>
      <c r="E4" s="99"/>
      <c r="F4" s="99"/>
      <c r="H4" s="100"/>
      <c r="I4" s="100"/>
      <c r="J4" s="100"/>
      <c r="K4" s="100"/>
      <c r="L4" s="100"/>
      <c r="M4" s="100"/>
      <c r="N4" s="100"/>
      <c r="O4" s="100"/>
    </row>
    <row r="5" spans="1:19">
      <c r="A5" s="19"/>
      <c r="B5" s="8"/>
      <c r="C5" s="99"/>
      <c r="D5" s="99"/>
      <c r="E5" s="99"/>
      <c r="F5" s="99"/>
      <c r="H5" s="100"/>
      <c r="I5" s="100"/>
      <c r="J5" s="100"/>
      <c r="K5" s="100"/>
      <c r="L5" s="100"/>
      <c r="M5" s="100"/>
      <c r="N5" s="100"/>
      <c r="O5" s="100"/>
    </row>
    <row r="6" spans="1:19">
      <c r="A6" s="19"/>
      <c r="B6" s="8"/>
      <c r="C6" s="99"/>
      <c r="D6" s="99"/>
      <c r="E6" s="99"/>
      <c r="F6" s="99"/>
      <c r="H6" s="100"/>
      <c r="I6" s="100"/>
      <c r="J6" s="100"/>
      <c r="K6" s="100"/>
      <c r="L6" s="100"/>
      <c r="M6" s="100"/>
      <c r="N6" s="100"/>
      <c r="O6" s="100"/>
    </row>
    <row r="7" spans="1:19" ht="12.75" customHeight="1">
      <c r="A7" s="19"/>
      <c r="B7" s="8"/>
      <c r="C7" s="50"/>
      <c r="D7" s="50"/>
      <c r="E7" s="50"/>
      <c r="F7" s="50"/>
    </row>
    <row r="8" spans="1:19" ht="13.5" thickBot="1">
      <c r="C8" s="24" t="s">
        <v>90</v>
      </c>
      <c r="D8" s="24" t="s">
        <v>91</v>
      </c>
      <c r="E8" s="24" t="s">
        <v>92</v>
      </c>
      <c r="F8" s="24" t="s">
        <v>93</v>
      </c>
      <c r="G8" s="24" t="s">
        <v>94</v>
      </c>
      <c r="H8" s="24" t="s">
        <v>104</v>
      </c>
      <c r="I8" s="24" t="s">
        <v>105</v>
      </c>
      <c r="J8" s="24" t="s">
        <v>106</v>
      </c>
      <c r="M8" s="18" t="s">
        <v>92</v>
      </c>
      <c r="N8" s="18" t="s">
        <v>107</v>
      </c>
    </row>
    <row r="9" spans="1:19" ht="13.5" thickTop="1">
      <c r="C9" s="19" t="s">
        <v>95</v>
      </c>
      <c r="D9" s="19" t="s">
        <v>23</v>
      </c>
      <c r="E9" s="47">
        <v>84765</v>
      </c>
      <c r="F9" s="20">
        <v>0.95</v>
      </c>
      <c r="G9" s="21">
        <v>44562</v>
      </c>
      <c r="H9" s="34" t="str">
        <f>_xlfn.XLOOKUP(TblPizza7[[#This Row],[Quantity]],$M$9:$M$13,$N$9:$N$13,,-1)</f>
        <v>Superstar</v>
      </c>
      <c r="I9" s="86" t="str">
        <f>INDEX($N$9:$N$13,MATCH(TblPizza7[[#This Row],[Quantity]],$M$9:$M$13,1))</f>
        <v>Best Seller</v>
      </c>
      <c r="J9" s="86" t="str">
        <f>VLOOKUP(TblPizza7[[#This Row],[Quantity]],$M$9:$N$13,2)</f>
        <v>Best Seller</v>
      </c>
      <c r="M9" s="53">
        <v>5000</v>
      </c>
      <c r="N9" s="27" t="s">
        <v>108</v>
      </c>
      <c r="S9" s="27" t="s">
        <v>109</v>
      </c>
    </row>
    <row r="10" spans="1:19">
      <c r="C10" s="19" t="s">
        <v>95</v>
      </c>
      <c r="D10" s="19" t="s">
        <v>39</v>
      </c>
      <c r="E10" s="47">
        <v>66702</v>
      </c>
      <c r="F10" s="20">
        <v>0.75</v>
      </c>
      <c r="G10" s="21">
        <v>44562</v>
      </c>
      <c r="H10" s="34" t="str">
        <f>_xlfn.XLOOKUP(TblPizza7[[#This Row],[Quantity]],$M$9:$M$13,$N$9:$N$13,,-1)</f>
        <v>Above Average</v>
      </c>
      <c r="I10" s="86" t="str">
        <f>INDEX($N$9:$N$13,MATCH(TblPizza7[[#This Row],[Quantity]],$M$9:$M$13,1))</f>
        <v>Below Average</v>
      </c>
      <c r="J10" s="86" t="str">
        <f>VLOOKUP(TblPizza7[[#This Row],[Quantity]],$M$9:$N$13,2)</f>
        <v>Below Average</v>
      </c>
      <c r="M10" s="53">
        <v>20000</v>
      </c>
      <c r="N10" s="27" t="s">
        <v>110</v>
      </c>
      <c r="P10" s="101" t="str">
        <f ca="1">_xlfn.FORMULATEXT(J9)</f>
        <v>=VLOOKUP([@Quantity],$M$9:$N$13,2)</v>
      </c>
    </row>
    <row r="11" spans="1:19">
      <c r="C11" s="19" t="s">
        <v>95</v>
      </c>
      <c r="D11" s="19" t="s">
        <v>40</v>
      </c>
      <c r="E11" s="47">
        <v>60291</v>
      </c>
      <c r="F11" s="20">
        <v>0.81</v>
      </c>
      <c r="G11" s="21">
        <v>44592</v>
      </c>
      <c r="H11" s="34" t="str">
        <f>_xlfn.XLOOKUP(TblPizza7[[#This Row],[Quantity]],$M$9:$M$13,$N$9:$N$13,,-1)</f>
        <v>Above Average</v>
      </c>
      <c r="I11" s="86" t="str">
        <f>INDEX($N$9:$N$13,MATCH(TblPizza7[[#This Row],[Quantity]],$M$9:$M$13,1))</f>
        <v>Below Average</v>
      </c>
      <c r="J11" s="86" t="str">
        <f>VLOOKUP(TblPizza7[[#This Row],[Quantity]],$M$9:$N$13,2)</f>
        <v>Below Average</v>
      </c>
      <c r="M11" s="53">
        <v>82000</v>
      </c>
      <c r="N11" s="27" t="s">
        <v>111</v>
      </c>
      <c r="P11" s="101"/>
    </row>
    <row r="12" spans="1:19">
      <c r="C12" s="19" t="s">
        <v>95</v>
      </c>
      <c r="D12" s="19" t="s">
        <v>41</v>
      </c>
      <c r="E12" s="47">
        <v>52544</v>
      </c>
      <c r="F12" s="20">
        <v>0.72</v>
      </c>
      <c r="G12" s="21">
        <v>44592</v>
      </c>
      <c r="H12" s="34" t="str">
        <f>_xlfn.XLOOKUP(TblPizza7[[#This Row],[Quantity]],$M$9:$M$13,$N$9:$N$13,,-1)</f>
        <v>Above Average</v>
      </c>
      <c r="I12" s="86" t="str">
        <f>INDEX($N$9:$N$13,MATCH(TblPizza7[[#This Row],[Quantity]],$M$9:$M$13,1))</f>
        <v>Below Average</v>
      </c>
      <c r="J12" s="86" t="str">
        <f>VLOOKUP(TblPizza7[[#This Row],[Quantity]],$M$9:$N$13,2)</f>
        <v>Below Average</v>
      </c>
      <c r="M12" s="53">
        <v>40000</v>
      </c>
      <c r="N12" s="27" t="s">
        <v>112</v>
      </c>
      <c r="P12" s="101"/>
    </row>
    <row r="13" spans="1:19">
      <c r="C13" s="19" t="s">
        <v>95</v>
      </c>
      <c r="D13" s="19" t="s">
        <v>42</v>
      </c>
      <c r="E13" s="47">
        <v>62342</v>
      </c>
      <c r="F13" s="20">
        <v>0.6</v>
      </c>
      <c r="G13" s="21">
        <v>44562</v>
      </c>
      <c r="H13" s="34" t="str">
        <f>_xlfn.XLOOKUP(TblPizza7[[#This Row],[Quantity]],$M$9:$M$13,$N$9:$N$13,,-1)</f>
        <v>Above Average</v>
      </c>
      <c r="I13" s="86" t="str">
        <f>INDEX($N$9:$N$13,MATCH(TblPizza7[[#This Row],[Quantity]],$M$9:$M$13,1))</f>
        <v>Below Average</v>
      </c>
      <c r="J13" s="86" t="str">
        <f>VLOOKUP(TblPizza7[[#This Row],[Quantity]],$M$9:$N$13,2)</f>
        <v>Below Average</v>
      </c>
      <c r="M13" s="53">
        <v>80000</v>
      </c>
      <c r="N13" s="27" t="s">
        <v>113</v>
      </c>
    </row>
    <row r="14" spans="1:19">
      <c r="C14" s="19" t="s">
        <v>95</v>
      </c>
      <c r="D14" s="19" t="s">
        <v>43</v>
      </c>
      <c r="E14" s="47">
        <v>62010</v>
      </c>
      <c r="F14" s="20">
        <v>0.69</v>
      </c>
      <c r="G14" s="21">
        <v>44562</v>
      </c>
      <c r="H14" s="34" t="str">
        <f>_xlfn.XLOOKUP(TblPizza7[[#This Row],[Quantity]],$M$9:$M$13,$N$9:$N$13,,-1)</f>
        <v>Above Average</v>
      </c>
      <c r="I14" s="86" t="str">
        <f>INDEX($N$9:$N$13,MATCH(TblPizza7[[#This Row],[Quantity]],$M$9:$M$13,1))</f>
        <v>Below Average</v>
      </c>
      <c r="J14" s="86" t="str">
        <f>VLOOKUP(TblPizza7[[#This Row],[Quantity]],$M$9:$N$13,2)</f>
        <v>Below Average</v>
      </c>
    </row>
    <row r="15" spans="1:19">
      <c r="C15" s="19" t="s">
        <v>95</v>
      </c>
      <c r="D15" s="19" t="s">
        <v>44</v>
      </c>
      <c r="E15" s="47">
        <v>69771</v>
      </c>
      <c r="F15" s="20">
        <v>0.55000000000000004</v>
      </c>
      <c r="G15" s="21">
        <v>44592</v>
      </c>
      <c r="H15" s="34" t="str">
        <f>_xlfn.XLOOKUP(TblPizza7[[#This Row],[Quantity]],$M$9:$M$13,$N$9:$N$13,,-1)</f>
        <v>Above Average</v>
      </c>
      <c r="I15" s="86" t="str">
        <f>INDEX($N$9:$N$13,MATCH(TblPizza7[[#This Row],[Quantity]],$M$9:$M$13,1))</f>
        <v>Below Average</v>
      </c>
      <c r="J15" s="86" t="str">
        <f>VLOOKUP(TblPizza7[[#This Row],[Quantity]],$M$9:$N$13,2)</f>
        <v>Below Average</v>
      </c>
    </row>
    <row r="16" spans="1:19">
      <c r="C16" s="19" t="s">
        <v>95</v>
      </c>
      <c r="D16" s="19" t="s">
        <v>45</v>
      </c>
      <c r="E16" s="47">
        <v>82372</v>
      </c>
      <c r="F16" s="20">
        <v>0.84</v>
      </c>
      <c r="G16" s="21">
        <v>44562</v>
      </c>
      <c r="H16" s="34" t="str">
        <f>_xlfn.XLOOKUP(TblPizza7[[#This Row],[Quantity]],$M$9:$M$13,$N$9:$N$13,,-1)</f>
        <v>Superstar</v>
      </c>
      <c r="I16" s="86" t="str">
        <f>INDEX($N$9:$N$13,MATCH(TblPizza7[[#This Row],[Quantity]],$M$9:$M$13,1))</f>
        <v>Best Seller</v>
      </c>
      <c r="J16" s="86" t="str">
        <f>VLOOKUP(TblPizza7[[#This Row],[Quantity]],$M$9:$N$13,2)</f>
        <v>Best Seller</v>
      </c>
    </row>
    <row r="17" spans="3:16">
      <c r="C17" s="19" t="s">
        <v>95</v>
      </c>
      <c r="D17" s="19" t="s">
        <v>46</v>
      </c>
      <c r="E17" s="47">
        <v>54226</v>
      </c>
      <c r="F17" s="20">
        <v>0.66</v>
      </c>
      <c r="G17" s="21">
        <v>44562</v>
      </c>
      <c r="H17" s="34" t="str">
        <f>_xlfn.XLOOKUP(TblPizza7[[#This Row],[Quantity]],$M$9:$M$13,$N$9:$N$13,,-1)</f>
        <v>Above Average</v>
      </c>
      <c r="I17" s="86" t="str">
        <f>INDEX($N$9:$N$13,MATCH(TblPizza7[[#This Row],[Quantity]],$M$9:$M$13,1))</f>
        <v>Below Average</v>
      </c>
      <c r="J17" s="86" t="str">
        <f>VLOOKUP(TblPizza7[[#This Row],[Quantity]],$M$9:$N$13,2)</f>
        <v>Below Average</v>
      </c>
      <c r="P17" s="101" t="str">
        <f ca="1">_xlfn.FORMULATEXT(I9)</f>
        <v>=INDEX($N$9:$N$13,MATCH([@Quantity],$M$9:$M$13,1))</v>
      </c>
    </row>
    <row r="18" spans="3:16">
      <c r="C18" s="19" t="s">
        <v>95</v>
      </c>
      <c r="D18" s="19" t="s">
        <v>47</v>
      </c>
      <c r="E18" s="47">
        <v>80248</v>
      </c>
      <c r="F18" s="20">
        <v>0.88</v>
      </c>
      <c r="G18" s="21">
        <v>44562</v>
      </c>
      <c r="H18" s="34" t="str">
        <f>_xlfn.XLOOKUP(TblPizza7[[#This Row],[Quantity]],$M$9:$M$13,$N$9:$N$13,,-1)</f>
        <v>Best Seller</v>
      </c>
      <c r="I18" s="86" t="str">
        <f>INDEX($N$9:$N$13,MATCH(TblPizza7[[#This Row],[Quantity]],$M$9:$M$13,1))</f>
        <v>Below Average</v>
      </c>
      <c r="J18" s="86" t="str">
        <f>VLOOKUP(TblPizza7[[#This Row],[Quantity]],$M$9:$N$13,2)</f>
        <v>Below Average</v>
      </c>
      <c r="P18" s="101"/>
    </row>
    <row r="19" spans="3:16">
      <c r="C19" s="19" t="s">
        <v>96</v>
      </c>
      <c r="D19" s="19" t="s">
        <v>48</v>
      </c>
      <c r="E19" s="47">
        <v>40719</v>
      </c>
      <c r="F19" s="20">
        <v>0.6</v>
      </c>
      <c r="G19" s="21">
        <v>44562</v>
      </c>
      <c r="H19" s="34" t="str">
        <f>_xlfn.XLOOKUP(TblPizza7[[#This Row],[Quantity]],$M$9:$M$13,$N$9:$N$13,,-1)</f>
        <v>Above Average</v>
      </c>
      <c r="I19" s="86" t="str">
        <f>INDEX($N$9:$N$13,MATCH(TblPizza7[[#This Row],[Quantity]],$M$9:$M$13,1))</f>
        <v>Below Average</v>
      </c>
      <c r="J19" s="86" t="str">
        <f>VLOOKUP(TblPizza7[[#This Row],[Quantity]],$M$9:$N$13,2)</f>
        <v>Below Average</v>
      </c>
      <c r="P19" s="101"/>
    </row>
    <row r="20" spans="3:16">
      <c r="C20" s="19" t="s">
        <v>96</v>
      </c>
      <c r="D20" s="19" t="s">
        <v>49</v>
      </c>
      <c r="E20" s="47">
        <v>16866</v>
      </c>
      <c r="F20" s="20">
        <v>0.47</v>
      </c>
      <c r="G20" s="21">
        <v>44592</v>
      </c>
      <c r="H20" s="34" t="str">
        <f>_xlfn.XLOOKUP(TblPizza7[[#This Row],[Quantity]],$M$9:$M$13,$N$9:$N$13,,-1)</f>
        <v>Worst Seller</v>
      </c>
      <c r="I20" s="86" t="str">
        <f>INDEX($N$9:$N$13,MATCH(TblPizza7[[#This Row],[Quantity]],$M$9:$M$13,1))</f>
        <v>Worst Seller</v>
      </c>
      <c r="J20" s="86" t="str">
        <f>VLOOKUP(TblPizza7[[#This Row],[Quantity]],$M$9:$N$13,2)</f>
        <v>Worst Seller</v>
      </c>
      <c r="P20" s="101"/>
    </row>
    <row r="21" spans="3:16">
      <c r="C21" s="19" t="s">
        <v>96</v>
      </c>
      <c r="D21" s="19" t="s">
        <v>50</v>
      </c>
      <c r="E21" s="47">
        <v>44716</v>
      </c>
      <c r="F21" s="20">
        <v>0.48</v>
      </c>
      <c r="G21" s="21">
        <v>44562</v>
      </c>
      <c r="H21" s="34" t="str">
        <f>_xlfn.XLOOKUP(TblPizza7[[#This Row],[Quantity]],$M$9:$M$13,$N$9:$N$13,,-1)</f>
        <v>Above Average</v>
      </c>
      <c r="I21" s="86" t="str">
        <f>INDEX($N$9:$N$13,MATCH(TblPizza7[[#This Row],[Quantity]],$M$9:$M$13,1))</f>
        <v>Below Average</v>
      </c>
      <c r="J21" s="86" t="str">
        <f>VLOOKUP(TblPizza7[[#This Row],[Quantity]],$M$9:$N$13,2)</f>
        <v>Below Average</v>
      </c>
      <c r="P21" s="101"/>
    </row>
    <row r="22" spans="3:16">
      <c r="C22" s="19" t="s">
        <v>96</v>
      </c>
      <c r="D22" s="19" t="s">
        <v>51</v>
      </c>
      <c r="E22" s="47">
        <v>48267</v>
      </c>
      <c r="F22" s="20">
        <v>0.41</v>
      </c>
      <c r="G22" s="21">
        <v>44562</v>
      </c>
      <c r="H22" s="34" t="str">
        <f>_xlfn.XLOOKUP(TblPizza7[[#This Row],[Quantity]],$M$9:$M$13,$N$9:$N$13,,-1)</f>
        <v>Above Average</v>
      </c>
      <c r="I22" s="86" t="str">
        <f>INDEX($N$9:$N$13,MATCH(TblPizza7[[#This Row],[Quantity]],$M$9:$M$13,1))</f>
        <v>Below Average</v>
      </c>
      <c r="J22" s="86" t="str">
        <f>VLOOKUP(TblPizza7[[#This Row],[Quantity]],$M$9:$N$13,2)</f>
        <v>Below Average</v>
      </c>
      <c r="P22" s="101"/>
    </row>
    <row r="23" spans="3:16">
      <c r="C23" s="19" t="s">
        <v>96</v>
      </c>
      <c r="D23" s="19" t="s">
        <v>52</v>
      </c>
      <c r="E23" s="47">
        <v>23286</v>
      </c>
      <c r="F23" s="20">
        <v>0.49</v>
      </c>
      <c r="G23" s="21">
        <v>44587</v>
      </c>
      <c r="H23" s="34" t="str">
        <f>_xlfn.XLOOKUP(TblPizza7[[#This Row],[Quantity]],$M$9:$M$13,$N$9:$N$13,,-1)</f>
        <v>Below Average</v>
      </c>
      <c r="I23" s="86" t="str">
        <f>INDEX($N$9:$N$13,MATCH(TblPizza7[[#This Row],[Quantity]],$M$9:$M$13,1))</f>
        <v>Below Average</v>
      </c>
      <c r="J23" s="86" t="str">
        <f>VLOOKUP(TblPizza7[[#This Row],[Quantity]],$M$9:$N$13,2)</f>
        <v>Below Average</v>
      </c>
    </row>
    <row r="24" spans="3:16">
      <c r="C24" s="19" t="s">
        <v>96</v>
      </c>
      <c r="D24" s="19" t="s">
        <v>53</v>
      </c>
      <c r="E24" s="47">
        <v>11234</v>
      </c>
      <c r="F24" s="20">
        <v>0.22</v>
      </c>
      <c r="G24" s="21">
        <v>44587</v>
      </c>
      <c r="H24" s="34" t="str">
        <f>_xlfn.XLOOKUP(TblPizza7[[#This Row],[Quantity]],$M$9:$M$13,$N$9:$N$13,,-1)</f>
        <v>Worst Seller</v>
      </c>
      <c r="I24" s="86" t="str">
        <f>INDEX($N$9:$N$13,MATCH(TblPizza7[[#This Row],[Quantity]],$M$9:$M$13,1))</f>
        <v>Worst Seller</v>
      </c>
      <c r="J24" s="86" t="str">
        <f>VLOOKUP(TblPizza7[[#This Row],[Quantity]],$M$9:$N$13,2)</f>
        <v>Worst Seller</v>
      </c>
    </row>
    <row r="25" spans="3:16">
      <c r="C25" s="19" t="s">
        <v>96</v>
      </c>
      <c r="D25" s="19" t="s">
        <v>54</v>
      </c>
      <c r="E25" s="47">
        <v>39520</v>
      </c>
      <c r="F25" s="20">
        <v>0.35</v>
      </c>
      <c r="G25" s="21">
        <v>44591</v>
      </c>
      <c r="H25" s="34" t="str">
        <f>_xlfn.XLOOKUP(TblPizza7[[#This Row],[Quantity]],$M$9:$M$13,$N$9:$N$13,,-1)</f>
        <v>Below Average</v>
      </c>
      <c r="I25" s="86" t="str">
        <f>INDEX($N$9:$N$13,MATCH(TblPizza7[[#This Row],[Quantity]],$M$9:$M$13,1))</f>
        <v>Below Average</v>
      </c>
      <c r="J25" s="86" t="str">
        <f>VLOOKUP(TblPizza7[[#This Row],[Quantity]],$M$9:$N$13,2)</f>
        <v>Below Average</v>
      </c>
      <c r="P25" s="101" t="str">
        <f ca="1">_xlfn.FORMULATEXT(H9)</f>
        <v>=XLOOKUP([@Quantity],$M$9:$M$13,$N$9:$N$13,,-1)</v>
      </c>
    </row>
    <row r="26" spans="3:16">
      <c r="C26" s="19" t="s">
        <v>96</v>
      </c>
      <c r="D26" s="19" t="s">
        <v>55</v>
      </c>
      <c r="E26" s="47">
        <v>33053</v>
      </c>
      <c r="F26" s="20">
        <v>0.4</v>
      </c>
      <c r="G26" s="21">
        <v>44562</v>
      </c>
      <c r="H26" s="34" t="str">
        <f>_xlfn.XLOOKUP(TblPizza7[[#This Row],[Quantity]],$M$9:$M$13,$N$9:$N$13,,-1)</f>
        <v>Below Average</v>
      </c>
      <c r="I26" s="86" t="str">
        <f>INDEX($N$9:$N$13,MATCH(TblPizza7[[#This Row],[Quantity]],$M$9:$M$13,1))</f>
        <v>Below Average</v>
      </c>
      <c r="J26" s="86" t="str">
        <f>VLOOKUP(TblPizza7[[#This Row],[Quantity]],$M$9:$N$13,2)</f>
        <v>Below Average</v>
      </c>
      <c r="P26" s="101"/>
    </row>
    <row r="27" spans="3:16">
      <c r="C27" s="19" t="s">
        <v>96</v>
      </c>
      <c r="D27" s="19" t="s">
        <v>56</v>
      </c>
      <c r="E27" s="47">
        <v>52288</v>
      </c>
      <c r="F27" s="20">
        <v>0.51</v>
      </c>
      <c r="G27" s="21">
        <v>44562</v>
      </c>
      <c r="H27" s="34" t="str">
        <f>_xlfn.XLOOKUP(TblPizza7[[#This Row],[Quantity]],$M$9:$M$13,$N$9:$N$13,,-1)</f>
        <v>Above Average</v>
      </c>
      <c r="I27" s="86" t="str">
        <f>INDEX($N$9:$N$13,MATCH(TblPizza7[[#This Row],[Quantity]],$M$9:$M$13,1))</f>
        <v>Below Average</v>
      </c>
      <c r="J27" s="86" t="str">
        <f>VLOOKUP(TblPizza7[[#This Row],[Quantity]],$M$9:$N$13,2)</f>
        <v>Below Average</v>
      </c>
      <c r="P27" s="101"/>
    </row>
    <row r="28" spans="3:16">
      <c r="C28" s="19" t="s">
        <v>96</v>
      </c>
      <c r="D28" s="19" t="s">
        <v>57</v>
      </c>
      <c r="E28" s="47">
        <v>32262</v>
      </c>
      <c r="F28" s="20">
        <v>0.38</v>
      </c>
      <c r="G28" s="21">
        <v>44562</v>
      </c>
      <c r="H28" s="34" t="str">
        <f>_xlfn.XLOOKUP(TblPizza7[[#This Row],[Quantity]],$M$9:$M$13,$N$9:$N$13,,-1)</f>
        <v>Below Average</v>
      </c>
      <c r="I28" s="86" t="str">
        <f>INDEX($N$9:$N$13,MATCH(TblPizza7[[#This Row],[Quantity]],$M$9:$M$13,1))</f>
        <v>Below Average</v>
      </c>
      <c r="J28" s="86" t="str">
        <f>VLOOKUP(TblPizza7[[#This Row],[Quantity]],$M$9:$N$13,2)</f>
        <v>Below Average</v>
      </c>
      <c r="P28" s="101"/>
    </row>
    <row r="29" spans="3:16">
      <c r="C29" s="19" t="s">
        <v>96</v>
      </c>
      <c r="D29" s="19" t="s">
        <v>58</v>
      </c>
      <c r="E29" s="47">
        <v>29191</v>
      </c>
      <c r="F29" s="20">
        <v>0.33</v>
      </c>
      <c r="G29" s="21">
        <v>44586</v>
      </c>
      <c r="H29" s="34" t="str">
        <f>_xlfn.XLOOKUP(TblPizza7[[#This Row],[Quantity]],$M$9:$M$13,$N$9:$N$13,,-1)</f>
        <v>Below Average</v>
      </c>
      <c r="I29" s="86" t="str">
        <f>INDEX($N$9:$N$13,MATCH(TblPizza7[[#This Row],[Quantity]],$M$9:$M$13,1))</f>
        <v>Below Average</v>
      </c>
      <c r="J29" s="86" t="str">
        <f>VLOOKUP(TblPizza7[[#This Row],[Quantity]],$M$9:$N$13,2)</f>
        <v>Below Average</v>
      </c>
      <c r="P29" s="101"/>
    </row>
    <row r="30" spans="3:16">
      <c r="C30" s="19" t="s">
        <v>96</v>
      </c>
      <c r="D30" s="19" t="s">
        <v>59</v>
      </c>
      <c r="E30" s="47">
        <v>6538</v>
      </c>
      <c r="F30" s="20">
        <v>0.05</v>
      </c>
      <c r="G30" s="21">
        <v>44581</v>
      </c>
      <c r="H30" s="34" t="str">
        <f>_xlfn.XLOOKUP(TblPizza7[[#This Row],[Quantity]],$M$9:$M$13,$N$9:$N$13,,-1)</f>
        <v>Worst Seller</v>
      </c>
      <c r="I30" s="86" t="str">
        <f>INDEX($N$9:$N$13,MATCH(TblPizza7[[#This Row],[Quantity]],$M$9:$M$13,1))</f>
        <v>Worst Seller</v>
      </c>
      <c r="J30" s="86" t="str">
        <f>VLOOKUP(TblPizza7[[#This Row],[Quantity]],$M$9:$N$13,2)</f>
        <v>Worst Seller</v>
      </c>
      <c r="P30" s="101"/>
    </row>
  </sheetData>
  <sortState xmlns:xlrd2="http://schemas.microsoft.com/office/spreadsheetml/2017/richdata2" ref="M9:N13">
    <sortCondition ref="M9:M13"/>
  </sortState>
  <mergeCells count="5">
    <mergeCell ref="P10:P12"/>
    <mergeCell ref="P17:P22"/>
    <mergeCell ref="P25:P30"/>
    <mergeCell ref="C2:F6"/>
    <mergeCell ref="H2:O6"/>
  </mergeCells>
  <conditionalFormatting sqref="F9:F30">
    <cfRule type="iconSet" priority="2">
      <iconSet iconSet="3Symbols">
        <cfvo type="percent" val="0"/>
        <cfvo type="percent" val="10"/>
        <cfvo type="percent" val="40"/>
      </iconSet>
    </cfRule>
  </conditionalFormatting>
  <conditionalFormatting sqref="H9:J30">
    <cfRule type="expression" dxfId="61" priority="1">
      <formula>ISERROR(H9)</formula>
    </cfRule>
  </conditionalFormatting>
  <hyperlinks>
    <hyperlink ref="Q2" location="'About and Summary'!A1" display="Home" xr:uid="{925AD7F2-B9FB-4153-9099-F1DFA17D220D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3C78B-B0B9-44B5-A988-3D41512690AF}">
  <sheetPr>
    <tabColor theme="9" tint="0.59999389629810485"/>
  </sheetPr>
  <dimension ref="A1:Q32"/>
  <sheetViews>
    <sheetView showGridLines="0" workbookViewId="0">
      <selection activeCell="I18" sqref="I18"/>
    </sheetView>
  </sheetViews>
  <sheetFormatPr defaultColWidth="8.85546875" defaultRowHeight="12.75"/>
  <cols>
    <col min="1" max="2" width="2.7109375" style="27" customWidth="1"/>
    <col min="3" max="3" width="10.28515625" style="19" bestFit="1" customWidth="1"/>
    <col min="4" max="4" width="16.42578125" style="19" bestFit="1" customWidth="1"/>
    <col min="5" max="5" width="13.140625" style="19" bestFit="1" customWidth="1"/>
    <col min="6" max="6" width="16.7109375" style="19" bestFit="1" customWidth="1"/>
    <col min="7" max="7" width="7.5703125" style="19" bestFit="1" customWidth="1"/>
    <col min="8" max="8" width="8.85546875" style="27"/>
    <col min="9" max="9" width="9.28515625" style="27" customWidth="1"/>
    <col min="10" max="10" width="13.140625" style="27" bestFit="1" customWidth="1"/>
    <col min="11" max="11" width="16.28515625" style="27" bestFit="1" customWidth="1"/>
    <col min="12" max="12" width="6.7109375" style="27" bestFit="1" customWidth="1"/>
    <col min="13" max="16384" width="8.85546875" style="27"/>
  </cols>
  <sheetData>
    <row r="1" spans="1:17" s="29" customFormat="1" ht="13.5" thickBot="1">
      <c r="A1" s="28" t="s">
        <v>114</v>
      </c>
    </row>
    <row r="2" spans="1:17" ht="13.5" thickTop="1">
      <c r="A2" s="19"/>
      <c r="B2" s="8"/>
      <c r="C2" s="99" t="s">
        <v>8</v>
      </c>
      <c r="D2" s="99"/>
      <c r="E2" s="99"/>
      <c r="F2" s="99"/>
      <c r="H2" s="100" t="s">
        <v>11</v>
      </c>
      <c r="I2" s="100"/>
      <c r="J2" s="100"/>
      <c r="K2" s="100"/>
      <c r="L2" s="100"/>
      <c r="M2" s="100"/>
      <c r="N2" s="100"/>
      <c r="O2" s="100"/>
      <c r="Q2" s="49" t="s">
        <v>88</v>
      </c>
    </row>
    <row r="3" spans="1:17">
      <c r="A3" s="19"/>
      <c r="B3" s="8"/>
      <c r="C3" s="99"/>
      <c r="D3" s="99"/>
      <c r="E3" s="99"/>
      <c r="F3" s="99"/>
      <c r="H3" s="100"/>
      <c r="I3" s="100"/>
      <c r="J3" s="100"/>
      <c r="K3" s="100"/>
      <c r="L3" s="100"/>
      <c r="M3" s="100"/>
      <c r="N3" s="100"/>
      <c r="O3" s="100"/>
    </row>
    <row r="4" spans="1:17">
      <c r="A4" s="19"/>
      <c r="B4" s="8"/>
      <c r="C4" s="99"/>
      <c r="D4" s="99"/>
      <c r="E4" s="99"/>
      <c r="F4" s="99"/>
      <c r="H4" s="100"/>
      <c r="I4" s="100"/>
      <c r="J4" s="100"/>
      <c r="K4" s="100"/>
      <c r="L4" s="100"/>
      <c r="M4" s="100"/>
      <c r="N4" s="100"/>
      <c r="O4" s="100"/>
    </row>
    <row r="5" spans="1:17">
      <c r="A5" s="19"/>
      <c r="B5" s="8"/>
      <c r="C5" s="99"/>
      <c r="D5" s="99"/>
      <c r="E5" s="99"/>
      <c r="F5" s="99"/>
      <c r="H5" s="100"/>
      <c r="I5" s="100"/>
      <c r="J5" s="100"/>
      <c r="K5" s="100"/>
      <c r="L5" s="100"/>
      <c r="M5" s="100"/>
      <c r="N5" s="100"/>
      <c r="O5" s="100"/>
    </row>
    <row r="6" spans="1:17">
      <c r="A6" s="19"/>
      <c r="B6" s="8"/>
      <c r="C6" s="99"/>
      <c r="D6" s="99"/>
      <c r="E6" s="99"/>
      <c r="F6" s="99"/>
      <c r="H6" s="100"/>
      <c r="I6" s="100"/>
      <c r="J6" s="100"/>
      <c r="K6" s="100"/>
      <c r="L6" s="100"/>
      <c r="M6" s="100"/>
      <c r="N6" s="100"/>
      <c r="O6" s="100"/>
    </row>
    <row r="7" spans="1:17" ht="12.75" customHeight="1">
      <c r="A7" s="19"/>
      <c r="B7" s="8"/>
      <c r="C7" s="50"/>
      <c r="D7" s="50"/>
      <c r="E7" s="50"/>
      <c r="F7" s="50"/>
    </row>
    <row r="8" spans="1:17" ht="13.5" thickBot="1">
      <c r="C8" s="24" t="s">
        <v>90</v>
      </c>
      <c r="D8" s="24" t="s">
        <v>91</v>
      </c>
      <c r="E8" s="24" t="s">
        <v>115</v>
      </c>
      <c r="F8" s="24" t="s">
        <v>116</v>
      </c>
      <c r="G8" s="24" t="s">
        <v>117</v>
      </c>
      <c r="I8" s="30" t="s">
        <v>91</v>
      </c>
      <c r="J8" s="30" t="s">
        <v>115</v>
      </c>
      <c r="K8" s="30" t="s">
        <v>116</v>
      </c>
      <c r="L8" s="30" t="s">
        <v>117</v>
      </c>
    </row>
    <row r="9" spans="1:17" ht="13.5" thickTop="1">
      <c r="C9" s="19" t="s">
        <v>95</v>
      </c>
      <c r="D9" s="19" t="s">
        <v>23</v>
      </c>
      <c r="E9" s="47">
        <v>84765</v>
      </c>
      <c r="F9" s="47">
        <v>81345</v>
      </c>
      <c r="G9" s="47" t="str" cm="1">
        <f t="array" ref="G9">_xlfn.SWITCH(TRUE,
TblPizza5[[#This Row],[Quantity Yesterday]]&lt;TblPizza5[[#This Row],[Quantity Today]],"👍 "&amp;TEXT(TblPizza5[[#This Row],[Quantity Today]]/TblPizza5[[#This Row],[Quantity Yesterday]]-1,"0%"),
TblPizza5[[#This Row],[Quantity Yesterday]]&gt;TblPizza5[[#This Row],[Quantity Today]],"👎 "&amp;TEXT(TblPizza5[[#This Row],[Quantity Today]]/TblPizza5[[#This Row],[Quantity Yesterday]]-1,"0%"),
TEXT(0,"0%"))</f>
        <v>👍 4%</v>
      </c>
      <c r="I9" s="38" t="s">
        <v>118</v>
      </c>
      <c r="J9" s="83" cm="1">
        <f t="array" ref="J9:L9">_xlfn.XLOOKUP(I9&amp;"*",TblPizza5[Pizza],TblPizza5[[Quantity Today]:[Change]],"not",2)</f>
        <v>60291</v>
      </c>
      <c r="K9" s="47">
        <v>59723</v>
      </c>
      <c r="L9" s="21" t="str">
        <v>👍 1%</v>
      </c>
      <c r="O9" s="27" t="str">
        <f ca="1">_xlfn.FORMULATEXT(J9)</f>
        <v>=XLOOKUP(I9&amp;"*",TblPizza5[Pizza],TblPizza5[[Quantity Today]:[Change]],"not",2)</v>
      </c>
    </row>
    <row r="10" spans="1:17">
      <c r="C10" s="19" t="s">
        <v>95</v>
      </c>
      <c r="D10" s="31" t="s">
        <v>39</v>
      </c>
      <c r="E10" s="47">
        <v>66702</v>
      </c>
      <c r="F10" s="47">
        <v>64321</v>
      </c>
      <c r="G10" s="47" t="str" cm="1">
        <f t="array" ref="G10">_xlfn.SWITCH(TRUE,
TblPizza5[[#This Row],[Quantity Yesterday]]&lt;TblPizza5[[#This Row],[Quantity Today]],"👍 "&amp;TEXT(TblPizza5[[#This Row],[Quantity Today]]/TblPizza5[[#This Row],[Quantity Yesterday]]-1,"0%"),
TblPizza5[[#This Row],[Quantity Yesterday]]&gt;TblPizza5[[#This Row],[Quantity Today]],"👎 "&amp;TEXT(TblPizza5[[#This Row],[Quantity Today]]/TblPizza5[[#This Row],[Quantity Yesterday]]-1,"0%"),
TEXT(0,"0%"))</f>
        <v>👍 4%</v>
      </c>
      <c r="I10" s="39" t="s">
        <v>119</v>
      </c>
      <c r="J10" s="83" cm="1">
        <f t="array" ref="J10:L10">_xlfn.XLOOKUP("*"&amp;I10&amp;"*",TblPizza5[Pizza],TblPizza5[[Quantity Today]:[Change]],"not",2)</f>
        <v>82372</v>
      </c>
      <c r="K10" s="47">
        <v>79690</v>
      </c>
      <c r="L10" s="21" t="str">
        <v>👍 3%</v>
      </c>
      <c r="O10" s="27" t="str">
        <f t="shared" ref="O10:O13" ca="1" si="0">_xlfn.FORMULATEXT(J10)</f>
        <v>=XLOOKUP("*"&amp;I10&amp;"*",TblPizza5[Pizza],TblPizza5[[Quantity Today]:[Change]],"not",2)</v>
      </c>
    </row>
    <row r="11" spans="1:17">
      <c r="C11" s="19" t="s">
        <v>95</v>
      </c>
      <c r="D11" s="32" t="s">
        <v>40</v>
      </c>
      <c r="E11" s="47">
        <v>60291</v>
      </c>
      <c r="F11" s="47">
        <v>59723</v>
      </c>
      <c r="G11" s="47" t="str" cm="1">
        <f t="array" ref="G11">_xlfn.SWITCH(TRUE,
TblPizza5[[#This Row],[Quantity Yesterday]]&lt;TblPizza5[[#This Row],[Quantity Today]],"👍 "&amp;TEXT(TblPizza5[[#This Row],[Quantity Today]]/TblPizza5[[#This Row],[Quantity Yesterday]]-1,"0%"),
TblPizza5[[#This Row],[Quantity Yesterday]]&gt;TblPizza5[[#This Row],[Quantity Today]],"👎 "&amp;TEXT(TblPizza5[[#This Row],[Quantity Today]]/TblPizza5[[#This Row],[Quantity Yesterday]]-1,"0%"),
TEXT(0,"0%"))</f>
        <v>👍 1%</v>
      </c>
      <c r="I11" s="40" t="s">
        <v>120</v>
      </c>
      <c r="J11" s="83" cm="1">
        <f t="array" ref="J11:L11">_xlfn.XLOOKUP(I11&amp;"?",TblPizza5[Pizza],TblPizza5[[Quantity Today]:[Change]],"not",2)</f>
        <v>66702</v>
      </c>
      <c r="K11" s="47">
        <v>64321</v>
      </c>
      <c r="L11" s="21" t="str">
        <v>👍 4%</v>
      </c>
      <c r="O11" s="27" t="str">
        <f t="shared" ca="1" si="0"/>
        <v>=XLOOKUP(I11&amp;"?",TblPizza5[Pizza],TblPizza5[[Quantity Today]:[Change]],"not",2)</v>
      </c>
    </row>
    <row r="12" spans="1:17">
      <c r="C12" s="19" t="s">
        <v>95</v>
      </c>
      <c r="D12" s="19" t="s">
        <v>41</v>
      </c>
      <c r="E12" s="47">
        <v>52544</v>
      </c>
      <c r="F12" s="47">
        <v>48976</v>
      </c>
      <c r="G12" s="47" t="str" cm="1">
        <f t="array" ref="G12">_xlfn.SWITCH(TRUE,
TblPizza5[[#This Row],[Quantity Yesterday]]&lt;TblPizza5[[#This Row],[Quantity Today]],"👍 "&amp;TEXT(TblPizza5[[#This Row],[Quantity Today]]/TblPizza5[[#This Row],[Quantity Yesterday]]-1,"0%"),
TblPizza5[[#This Row],[Quantity Yesterday]]&gt;TblPizza5[[#This Row],[Quantity Today]],"👎 "&amp;TEXT(TblPizza5[[#This Row],[Quantity Today]]/TblPizza5[[#This Row],[Quantity Yesterday]]-1,"0%"),
TEXT(0,"0%"))</f>
        <v>👍 7%</v>
      </c>
      <c r="I12" s="41" t="s">
        <v>121</v>
      </c>
      <c r="J12" s="83" cm="1">
        <f t="array" ref="J12:L12">_xlfn.XLOOKUP(I12&amp;"*",TblPizza5[Pizza],TblPizza5[[Quantity Today]:[Change]],"not",2)</f>
        <v>40719</v>
      </c>
      <c r="K12" s="47">
        <v>38450</v>
      </c>
      <c r="L12" s="21" t="str">
        <v>👍 6%</v>
      </c>
      <c r="O12" s="27" t="str">
        <f t="shared" ca="1" si="0"/>
        <v>=XLOOKUP(I12&amp;"*",TblPizza5[Pizza],TblPizza5[[Quantity Today]:[Change]],"not",2)</v>
      </c>
    </row>
    <row r="13" spans="1:17">
      <c r="C13" s="19" t="s">
        <v>95</v>
      </c>
      <c r="D13" s="19" t="s">
        <v>42</v>
      </c>
      <c r="E13" s="47">
        <v>62342</v>
      </c>
      <c r="F13" s="47">
        <v>61376</v>
      </c>
      <c r="G13" s="47" t="str" cm="1">
        <f t="array" ref="G13">_xlfn.SWITCH(TRUE,
TblPizza5[[#This Row],[Quantity Yesterday]]&lt;TblPizza5[[#This Row],[Quantity Today]],"👍 "&amp;TEXT(TblPizza5[[#This Row],[Quantity Today]]/TblPizza5[[#This Row],[Quantity Yesterday]]-1,"0%"),
TblPizza5[[#This Row],[Quantity Yesterday]]&gt;TblPizza5[[#This Row],[Quantity Today]],"👎 "&amp;TEXT(TblPizza5[[#This Row],[Quantity Today]]/TblPizza5[[#This Row],[Quantity Yesterday]]-1,"0%"),
TEXT(0,"0%"))</f>
        <v>👍 2%</v>
      </c>
      <c r="I13" s="42" t="s">
        <v>122</v>
      </c>
      <c r="J13" s="83" cm="1">
        <f t="array" ref="J13:L13">_xlfn.XLOOKUP(I13&amp;"~*",TblPizza5[Pizza],TblPizza5[[Quantity Today]:[Change]],"not",2)</f>
        <v>44716</v>
      </c>
      <c r="K13" s="27">
        <v>45123</v>
      </c>
      <c r="L13" s="27" t="str">
        <v>👎 -1%</v>
      </c>
      <c r="O13" s="27" t="str">
        <f t="shared" ca="1" si="0"/>
        <v>=XLOOKUP(I13&amp;"~*",TblPizza5[Pizza],TblPizza5[[Quantity Today]:[Change]],"not",2)</v>
      </c>
    </row>
    <row r="14" spans="1:17">
      <c r="C14" s="19" t="s">
        <v>95</v>
      </c>
      <c r="D14" s="19" t="s">
        <v>43</v>
      </c>
      <c r="E14" s="47">
        <v>62010</v>
      </c>
      <c r="F14" s="47">
        <v>60015</v>
      </c>
      <c r="G14" s="47" t="str" cm="1">
        <f t="array" ref="G14">_xlfn.SWITCH(TRUE,
TblPizza5[[#This Row],[Quantity Yesterday]]&lt;TblPizza5[[#This Row],[Quantity Today]],"👍 "&amp;TEXT(TblPizza5[[#This Row],[Quantity Today]]/TblPizza5[[#This Row],[Quantity Yesterday]]-1,"0%"),
TblPizza5[[#This Row],[Quantity Yesterday]]&gt;TblPizza5[[#This Row],[Quantity Today]],"👎 "&amp;TEXT(TblPizza5[[#This Row],[Quantity Today]]/TblPizza5[[#This Row],[Quantity Yesterday]]-1,"0%"),
TEXT(0,"0%"))</f>
        <v>👍 3%</v>
      </c>
    </row>
    <row r="15" spans="1:17">
      <c r="C15" s="19" t="s">
        <v>95</v>
      </c>
      <c r="D15" s="19" t="s">
        <v>44</v>
      </c>
      <c r="E15" s="47">
        <v>69771</v>
      </c>
      <c r="F15" s="47">
        <v>71521</v>
      </c>
      <c r="G15" s="47" t="str" cm="1">
        <f t="array" ref="G15">_xlfn.SWITCH(TRUE,
TblPizza5[[#This Row],[Quantity Yesterday]]&lt;TblPizza5[[#This Row],[Quantity Today]],"👍 "&amp;TEXT(TblPizza5[[#This Row],[Quantity Today]]/TblPizza5[[#This Row],[Quantity Yesterday]]-1,"0%"),
TblPizza5[[#This Row],[Quantity Yesterday]]&gt;TblPizza5[[#This Row],[Quantity Today]],"👎 "&amp;TEXT(TblPizza5[[#This Row],[Quantity Today]]/TblPizza5[[#This Row],[Quantity Yesterday]]-1,"0%"),
TEXT(0,"0%"))</f>
        <v>👎 -2%</v>
      </c>
      <c r="O15" s="27" t="s">
        <v>123</v>
      </c>
    </row>
    <row r="16" spans="1:17">
      <c r="C16" s="19" t="s">
        <v>95</v>
      </c>
      <c r="D16" s="33" t="s">
        <v>45</v>
      </c>
      <c r="E16" s="47">
        <v>82372</v>
      </c>
      <c r="F16" s="47">
        <v>79690</v>
      </c>
      <c r="G16" s="47" t="str" cm="1">
        <f t="array" ref="G16">_xlfn.SWITCH(TRUE,
TblPizza5[[#This Row],[Quantity Yesterday]]&lt;TblPizza5[[#This Row],[Quantity Today]],"👍 "&amp;TEXT(TblPizza5[[#This Row],[Quantity Today]]/TblPizza5[[#This Row],[Quantity Yesterday]]-1,"0%"),
TblPizza5[[#This Row],[Quantity Yesterday]]&gt;TblPizza5[[#This Row],[Quantity Today]],"👎 "&amp;TEXT(TblPizza5[[#This Row],[Quantity Today]]/TblPizza5[[#This Row],[Quantity Yesterday]]-1,"0%"),
TEXT(0,"0%"))</f>
        <v>👍 3%</v>
      </c>
      <c r="O16" s="27" t="s">
        <v>124</v>
      </c>
    </row>
    <row r="17" spans="3:15">
      <c r="C17" s="19" t="s">
        <v>95</v>
      </c>
      <c r="D17" s="19" t="s">
        <v>46</v>
      </c>
      <c r="E17" s="47">
        <v>54226</v>
      </c>
      <c r="F17" s="47">
        <v>53901</v>
      </c>
      <c r="G17" s="47" t="str" cm="1">
        <f t="array" ref="G17">_xlfn.SWITCH(TRUE,
TblPizza5[[#This Row],[Quantity Yesterday]]&lt;TblPizza5[[#This Row],[Quantity Today]],"👍 "&amp;TEXT(TblPizza5[[#This Row],[Quantity Today]]/TblPizza5[[#This Row],[Quantity Yesterday]]-1,"0%"),
TblPizza5[[#This Row],[Quantity Yesterday]]&gt;TblPizza5[[#This Row],[Quantity Today]],"👎 "&amp;TEXT(TblPizza5[[#This Row],[Quantity Today]]/TblPizza5[[#This Row],[Quantity Yesterday]]-1,"0%"),
TEXT(0,"0%"))</f>
        <v>👍 1%</v>
      </c>
      <c r="O17" s="27" t="s">
        <v>125</v>
      </c>
    </row>
    <row r="18" spans="3:15">
      <c r="C18" s="19" t="s">
        <v>95</v>
      </c>
      <c r="D18" s="19" t="s">
        <v>47</v>
      </c>
      <c r="E18" s="47">
        <v>80248</v>
      </c>
      <c r="F18" s="47">
        <v>77888</v>
      </c>
      <c r="G18" s="47" t="str" cm="1">
        <f t="array" ref="G18">_xlfn.SWITCH(TRUE,
TblPizza5[[#This Row],[Quantity Yesterday]]&lt;TblPizza5[[#This Row],[Quantity Today]],"👍 "&amp;TEXT(TblPizza5[[#This Row],[Quantity Today]]/TblPizza5[[#This Row],[Quantity Yesterday]]-1,"0%"),
TblPizza5[[#This Row],[Quantity Yesterday]]&gt;TblPizza5[[#This Row],[Quantity Today]],"👎 "&amp;TEXT(TblPizza5[[#This Row],[Quantity Today]]/TblPizza5[[#This Row],[Quantity Yesterday]]-1,"0%"),
TEXT(0,"0%"))</f>
        <v>👍 3%</v>
      </c>
      <c r="O18" s="27" t="s">
        <v>126</v>
      </c>
    </row>
    <row r="19" spans="3:15">
      <c r="C19" s="19" t="s">
        <v>96</v>
      </c>
      <c r="D19" s="34" t="s">
        <v>48</v>
      </c>
      <c r="E19" s="47">
        <v>40719</v>
      </c>
      <c r="F19" s="47">
        <v>38450</v>
      </c>
      <c r="G19" s="47" t="str" cm="1">
        <f t="array" ref="G19">_xlfn.SWITCH(TRUE,
TblPizza5[[#This Row],[Quantity Yesterday]]&lt;TblPizza5[[#This Row],[Quantity Today]],"👍 "&amp;TEXT(TblPizza5[[#This Row],[Quantity Today]]/TblPizza5[[#This Row],[Quantity Yesterday]]-1,"0%"),
TblPizza5[[#This Row],[Quantity Yesterday]]&gt;TblPizza5[[#This Row],[Quantity Today]],"👎 "&amp;TEXT(TblPizza5[[#This Row],[Quantity Today]]/TblPizza5[[#This Row],[Quantity Yesterday]]-1,"0%"),
TEXT(0,"0%"))</f>
        <v>👍 6%</v>
      </c>
      <c r="O19" s="27" t="s">
        <v>127</v>
      </c>
    </row>
    <row r="20" spans="3:15">
      <c r="C20" s="19" t="s">
        <v>96</v>
      </c>
      <c r="D20" s="34" t="s">
        <v>128</v>
      </c>
      <c r="E20" s="47">
        <v>63123</v>
      </c>
      <c r="F20" s="47">
        <v>62000</v>
      </c>
      <c r="G20" s="47" t="str" cm="1">
        <f t="array" ref="G20">_xlfn.SWITCH(TRUE,
TblPizza5[[#This Row],[Quantity Yesterday]]&lt;TblPizza5[[#This Row],[Quantity Today]],"👍 "&amp;TEXT(TblPizza5[[#This Row],[Quantity Today]]/TblPizza5[[#This Row],[Quantity Yesterday]]-1,"0%"),
TblPizza5[[#This Row],[Quantity Yesterday]]&gt;TblPizza5[[#This Row],[Quantity Today]],"👎 "&amp;TEXT(TblPizza5[[#This Row],[Quantity Today]]/TblPizza5[[#This Row],[Quantity Yesterday]]-1,"0%"),
TEXT(0,"0%"))</f>
        <v>👍 2%</v>
      </c>
    </row>
    <row r="21" spans="3:15">
      <c r="C21" s="19" t="s">
        <v>96</v>
      </c>
      <c r="D21" s="34" t="s">
        <v>49</v>
      </c>
      <c r="E21" s="47">
        <v>40719</v>
      </c>
      <c r="F21" s="47">
        <v>38450</v>
      </c>
      <c r="G21" s="47" t="str" cm="1">
        <f t="array" ref="G21">_xlfn.SWITCH(TRUE,
TblPizza5[[#This Row],[Quantity Yesterday]]&lt;TblPizza5[[#This Row],[Quantity Today]],"👍 "&amp;TEXT(TblPizza5[[#This Row],[Quantity Today]]/TblPizza5[[#This Row],[Quantity Yesterday]]-1,"0%"),
TblPizza5[[#This Row],[Quantity Yesterday]]&gt;TblPizza5[[#This Row],[Quantity Today]],"👎 "&amp;TEXT(TblPizza5[[#This Row],[Quantity Today]]/TblPizza5[[#This Row],[Quantity Yesterday]]-1,"0%"),
TEXT(0,"0%"))</f>
        <v>👍 6%</v>
      </c>
    </row>
    <row r="22" spans="3:15">
      <c r="C22" s="19" t="s">
        <v>96</v>
      </c>
      <c r="D22" s="35" t="s">
        <v>129</v>
      </c>
      <c r="E22" s="47">
        <v>44716</v>
      </c>
      <c r="F22" s="47">
        <v>45123</v>
      </c>
      <c r="G22" s="47" t="str" cm="1">
        <f t="array" ref="G22">_xlfn.SWITCH(TRUE,
TblPizza5[[#This Row],[Quantity Yesterday]]&lt;TblPizza5[[#This Row],[Quantity Today]],"👍 "&amp;TEXT(TblPizza5[[#This Row],[Quantity Today]]/TblPizza5[[#This Row],[Quantity Yesterday]]-1,"0%"),
TblPizza5[[#This Row],[Quantity Yesterday]]&gt;TblPizza5[[#This Row],[Quantity Today]],"👎 "&amp;TEXT(TblPizza5[[#This Row],[Quantity Today]]/TblPizza5[[#This Row],[Quantity Yesterday]]-1,"0%"),
TEXT(0,"0%"))</f>
        <v>👎 -1%</v>
      </c>
      <c r="I22" s="27" t="s">
        <v>130</v>
      </c>
    </row>
    <row r="23" spans="3:15">
      <c r="C23" s="19" t="s">
        <v>96</v>
      </c>
      <c r="D23" s="19" t="s">
        <v>51</v>
      </c>
      <c r="E23" s="47">
        <v>48267</v>
      </c>
      <c r="F23" s="47">
        <v>49546</v>
      </c>
      <c r="G23" s="47" t="str" cm="1">
        <f t="array" ref="G23">_xlfn.SWITCH(TRUE,
TblPizza5[[#This Row],[Quantity Yesterday]]&lt;TblPizza5[[#This Row],[Quantity Today]],"👍 "&amp;TEXT(TblPizza5[[#This Row],[Quantity Today]]/TblPizza5[[#This Row],[Quantity Yesterday]]-1,"0%"),
TblPizza5[[#This Row],[Quantity Yesterday]]&gt;TblPizza5[[#This Row],[Quantity Today]],"👎 "&amp;TEXT(TblPizza5[[#This Row],[Quantity Today]]/TblPizza5[[#This Row],[Quantity Yesterday]]-1,"0%"),
TEXT(0,"0%"))</f>
        <v>👎 -3%</v>
      </c>
    </row>
    <row r="24" spans="3:15">
      <c r="C24" s="19" t="s">
        <v>96</v>
      </c>
      <c r="D24" s="19" t="s">
        <v>52</v>
      </c>
      <c r="E24" s="47">
        <v>23286</v>
      </c>
      <c r="F24" s="47">
        <v>21890</v>
      </c>
      <c r="G24" s="47" t="str" cm="1">
        <f t="array" ref="G24">_xlfn.SWITCH(TRUE,
TblPizza5[[#This Row],[Quantity Yesterday]]&lt;TblPizza5[[#This Row],[Quantity Today]],"👍 "&amp;TEXT(TblPizza5[[#This Row],[Quantity Today]]/TblPizza5[[#This Row],[Quantity Yesterday]]-1,"0%"),
TblPizza5[[#This Row],[Quantity Yesterday]]&gt;TblPizza5[[#This Row],[Quantity Today]],"👎 "&amp;TEXT(TblPizza5[[#This Row],[Quantity Today]]/TblPizza5[[#This Row],[Quantity Yesterday]]-1,"0%"),
TEXT(0,"0%"))</f>
        <v>👍 6%</v>
      </c>
      <c r="I24" s="36" t="s">
        <v>172</v>
      </c>
    </row>
    <row r="25" spans="3:15">
      <c r="C25" s="19" t="s">
        <v>96</v>
      </c>
      <c r="D25" s="19" t="s">
        <v>53</v>
      </c>
      <c r="E25" s="47">
        <v>11234</v>
      </c>
      <c r="F25" s="47">
        <v>11899</v>
      </c>
      <c r="G25" s="47" t="str" cm="1">
        <f t="array" ref="G25">_xlfn.SWITCH(TRUE,
TblPizza5[[#This Row],[Quantity Yesterday]]&lt;TblPizza5[[#This Row],[Quantity Today]],"👍 "&amp;TEXT(TblPizza5[[#This Row],[Quantity Today]]/TblPizza5[[#This Row],[Quantity Yesterday]]-1,"0%"),
TblPizza5[[#This Row],[Quantity Yesterday]]&gt;TblPizza5[[#This Row],[Quantity Today]],"👎 "&amp;TEXT(TblPizza5[[#This Row],[Quantity Today]]/TblPizza5[[#This Row],[Quantity Yesterday]]-1,"0%"),
TEXT(0,"0%"))</f>
        <v>👎 -6%</v>
      </c>
      <c r="I25" s="36" t="s">
        <v>173</v>
      </c>
    </row>
    <row r="26" spans="3:15">
      <c r="C26" s="19" t="s">
        <v>96</v>
      </c>
      <c r="D26" s="19" t="s">
        <v>54</v>
      </c>
      <c r="E26" s="47">
        <v>39520</v>
      </c>
      <c r="F26" s="47">
        <v>37843</v>
      </c>
      <c r="G26" s="47" t="str" cm="1">
        <f t="array" ref="G26">_xlfn.SWITCH(TRUE,
TblPizza5[[#This Row],[Quantity Yesterday]]&lt;TblPizza5[[#This Row],[Quantity Today]],"👍 "&amp;TEXT(TblPizza5[[#This Row],[Quantity Today]]/TblPizza5[[#This Row],[Quantity Yesterday]]-1,"0%"),
TblPizza5[[#This Row],[Quantity Yesterday]]&gt;TblPizza5[[#This Row],[Quantity Today]],"👎 "&amp;TEXT(TblPizza5[[#This Row],[Quantity Today]]/TblPizza5[[#This Row],[Quantity Yesterday]]-1,"0%"),
TEXT(0,"0%"))</f>
        <v>👍 4%</v>
      </c>
      <c r="I26" s="36" t="s">
        <v>174</v>
      </c>
    </row>
    <row r="27" spans="3:15">
      <c r="C27" s="19" t="s">
        <v>96</v>
      </c>
      <c r="D27" s="19" t="s">
        <v>55</v>
      </c>
      <c r="E27" s="47">
        <v>33053</v>
      </c>
      <c r="F27" s="47">
        <v>31001</v>
      </c>
      <c r="G27" s="47" t="str" cm="1">
        <f t="array" ref="G27">_xlfn.SWITCH(TRUE,
TblPizza5[[#This Row],[Quantity Yesterday]]&lt;TblPizza5[[#This Row],[Quantity Today]],"👍 "&amp;TEXT(TblPizza5[[#This Row],[Quantity Today]]/TblPizza5[[#This Row],[Quantity Yesterday]]-1,"0%"),
TblPizza5[[#This Row],[Quantity Yesterday]]&gt;TblPizza5[[#This Row],[Quantity Today]],"👎 "&amp;TEXT(TblPizza5[[#This Row],[Quantity Today]]/TblPizza5[[#This Row],[Quantity Yesterday]]-1,"0%"),
TEXT(0,"0%"))</f>
        <v>👍 7%</v>
      </c>
    </row>
    <row r="28" spans="3:15">
      <c r="C28" s="19" t="s">
        <v>96</v>
      </c>
      <c r="D28" s="19" t="s">
        <v>56</v>
      </c>
      <c r="E28" s="47">
        <v>52288</v>
      </c>
      <c r="F28" s="47">
        <v>46541</v>
      </c>
      <c r="G28" s="47" t="str" cm="1">
        <f t="array" ref="G28">_xlfn.SWITCH(TRUE,
TblPizza5[[#This Row],[Quantity Yesterday]]&lt;TblPizza5[[#This Row],[Quantity Today]],"👍 "&amp;TEXT(TblPizza5[[#This Row],[Quantity Today]]/TblPizza5[[#This Row],[Quantity Yesterday]]-1,"0%"),
TblPizza5[[#This Row],[Quantity Yesterday]]&gt;TblPizza5[[#This Row],[Quantity Today]],"👎 "&amp;TEXT(TblPizza5[[#This Row],[Quantity Today]]/TblPizza5[[#This Row],[Quantity Yesterday]]-1,"0%"),
TEXT(0,"0%"))</f>
        <v>👍 12%</v>
      </c>
    </row>
    <row r="29" spans="3:15">
      <c r="C29" s="19" t="s">
        <v>96</v>
      </c>
      <c r="D29" s="19" t="s">
        <v>57</v>
      </c>
      <c r="E29" s="47">
        <v>32262</v>
      </c>
      <c r="F29" s="47">
        <v>32143</v>
      </c>
      <c r="G29" s="47" t="str" cm="1">
        <f t="array" ref="G29">_xlfn.SWITCH(TRUE,
TblPizza5[[#This Row],[Quantity Yesterday]]&lt;TblPizza5[[#This Row],[Quantity Today]],"👍 "&amp;TEXT(TblPizza5[[#This Row],[Quantity Today]]/TblPizza5[[#This Row],[Quantity Yesterday]]-1,"0%"),
TblPizza5[[#This Row],[Quantity Yesterday]]&gt;TblPizza5[[#This Row],[Quantity Today]],"👎 "&amp;TEXT(TblPizza5[[#This Row],[Quantity Today]]/TblPizza5[[#This Row],[Quantity Yesterday]]-1,"0%"),
TEXT(0,"0%"))</f>
        <v>👍 0%</v>
      </c>
    </row>
    <row r="30" spans="3:15">
      <c r="C30" s="19" t="s">
        <v>96</v>
      </c>
      <c r="D30" s="19" t="s">
        <v>58</v>
      </c>
      <c r="E30" s="47">
        <v>29191</v>
      </c>
      <c r="F30" s="47">
        <v>28654</v>
      </c>
      <c r="G30" s="47" t="str" cm="1">
        <f t="array" ref="G30">_xlfn.SWITCH(TRUE,
TblPizza5[[#This Row],[Quantity Yesterday]]&lt;TblPizza5[[#This Row],[Quantity Today]],"👍 "&amp;TEXT(TblPizza5[[#This Row],[Quantity Today]]/TblPizza5[[#This Row],[Quantity Yesterday]]-1,"0%"),
TblPizza5[[#This Row],[Quantity Yesterday]]&gt;TblPizza5[[#This Row],[Quantity Today]],"👎 "&amp;TEXT(TblPizza5[[#This Row],[Quantity Today]]/TblPizza5[[#This Row],[Quantity Yesterday]]-1,"0%"),
TEXT(0,"0%"))</f>
        <v>👍 2%</v>
      </c>
    </row>
    <row r="31" spans="3:15">
      <c r="C31" s="19" t="s">
        <v>96</v>
      </c>
      <c r="D31" s="19" t="s">
        <v>59</v>
      </c>
      <c r="E31" s="47">
        <v>6538</v>
      </c>
      <c r="F31" s="47">
        <v>6639</v>
      </c>
      <c r="G31" s="47" t="str" cm="1">
        <f t="array" ref="G31">_xlfn.SWITCH(TRUE,
TblPizza5[[#This Row],[Quantity Yesterday]]&lt;TblPizza5[[#This Row],[Quantity Today]],"👍 "&amp;TEXT(TblPizza5[[#This Row],[Quantity Today]]/TblPizza5[[#This Row],[Quantity Yesterday]]-1,"0%"),
TblPizza5[[#This Row],[Quantity Yesterday]]&gt;TblPizza5[[#This Row],[Quantity Today]],"👎 "&amp;TEXT(TblPizza5[[#This Row],[Quantity Today]]/TblPizza5[[#This Row],[Quantity Yesterday]]-1,"0%"),
TEXT(0,"0%"))</f>
        <v>👎 -2%</v>
      </c>
    </row>
    <row r="32" spans="3:15">
      <c r="E32" s="37">
        <f>SUBTOTAL(109,TblPizza5[Quantity Today])</f>
        <v>1140187</v>
      </c>
      <c r="F32" s="37">
        <f>SUBTOTAL(109,TblPizza5[Quantity Yesterday])</f>
        <v>1108935</v>
      </c>
      <c r="G32" s="37"/>
    </row>
  </sheetData>
  <mergeCells count="2">
    <mergeCell ref="C2:F6"/>
    <mergeCell ref="H2:O6"/>
  </mergeCells>
  <hyperlinks>
    <hyperlink ref="Q2" location="'About and Summary'!A1" display="Home" xr:uid="{EBB9101D-687C-4184-914D-6AF9CC87965D}"/>
  </hyperlinks>
  <pageMargins left="0.7" right="0.7" top="0.75" bottom="0.75" header="0.3" footer="0.3"/>
  <pageSetup paperSize="9" orientation="portrait" r:id="rId1"/>
  <drawing r:id="rId2"/>
  <legacyDrawing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A7813-B2D9-4F1B-8B6C-6CC885C9BA50}">
  <sheetPr>
    <tabColor theme="9" tint="0.59999389629810485"/>
  </sheetPr>
  <dimension ref="A1:V50"/>
  <sheetViews>
    <sheetView showGridLines="0" tabSelected="1" workbookViewId="0">
      <selection activeCell="I24" sqref="I24"/>
    </sheetView>
  </sheetViews>
  <sheetFormatPr defaultColWidth="8.85546875" defaultRowHeight="12.75"/>
  <cols>
    <col min="1" max="2" width="8.85546875" style="19"/>
    <col min="3" max="3" width="10.28515625" style="19" bestFit="1" customWidth="1"/>
    <col min="4" max="4" width="16.42578125" style="19" bestFit="1" customWidth="1"/>
    <col min="5" max="5" width="10.28515625" style="19" bestFit="1" customWidth="1"/>
    <col min="6" max="8" width="8.85546875" style="19"/>
    <col min="9" max="9" width="8.85546875" style="19" bestFit="1" customWidth="1"/>
    <col min="10" max="10" width="8.5703125" style="19" bestFit="1" customWidth="1"/>
    <col min="11" max="11" width="10.85546875" style="19" customWidth="1"/>
    <col min="12" max="16384" width="8.85546875" style="19"/>
  </cols>
  <sheetData>
    <row r="1" spans="1:22" s="29" customFormat="1" ht="13.5" thickBot="1">
      <c r="A1" s="28" t="s">
        <v>137</v>
      </c>
    </row>
    <row r="2" spans="1:22" ht="13.5" thickTop="1">
      <c r="B2" s="8"/>
      <c r="C2" s="99" t="s">
        <v>8</v>
      </c>
      <c r="D2" s="99"/>
      <c r="E2" s="99"/>
      <c r="F2" s="99"/>
      <c r="H2" s="100" t="s">
        <v>11</v>
      </c>
      <c r="I2" s="100"/>
      <c r="J2" s="100"/>
      <c r="K2" s="100"/>
      <c r="L2" s="100"/>
      <c r="M2" s="100"/>
      <c r="N2" s="100"/>
      <c r="O2" s="100"/>
      <c r="P2" s="27"/>
      <c r="Q2" s="49" t="s">
        <v>88</v>
      </c>
    </row>
    <row r="3" spans="1:22">
      <c r="B3" s="8"/>
      <c r="C3" s="99"/>
      <c r="D3" s="99"/>
      <c r="E3" s="99"/>
      <c r="F3" s="99"/>
      <c r="H3" s="100"/>
      <c r="I3" s="100"/>
      <c r="J3" s="100"/>
      <c r="K3" s="100"/>
      <c r="L3" s="100"/>
      <c r="M3" s="100"/>
      <c r="N3" s="100"/>
      <c r="O3" s="100"/>
      <c r="P3" s="27"/>
      <c r="Q3" s="27"/>
    </row>
    <row r="4" spans="1:22">
      <c r="B4" s="8"/>
      <c r="C4" s="99"/>
      <c r="D4" s="99"/>
      <c r="E4" s="99"/>
      <c r="F4" s="99"/>
      <c r="H4" s="100"/>
      <c r="I4" s="100"/>
      <c r="J4" s="100"/>
      <c r="K4" s="100"/>
      <c r="L4" s="100"/>
      <c r="M4" s="100"/>
      <c r="N4" s="100"/>
      <c r="O4" s="100"/>
      <c r="P4" s="27"/>
      <c r="Q4" s="27"/>
    </row>
    <row r="5" spans="1:22">
      <c r="B5" s="8"/>
      <c r="C5" s="99"/>
      <c r="D5" s="99"/>
      <c r="E5" s="99"/>
      <c r="F5" s="99"/>
      <c r="H5" s="100"/>
      <c r="I5" s="100"/>
      <c r="J5" s="100"/>
      <c r="K5" s="100"/>
      <c r="L5" s="100"/>
      <c r="M5" s="100"/>
      <c r="N5" s="100"/>
      <c r="O5" s="100"/>
      <c r="P5" s="27"/>
      <c r="Q5" s="27"/>
    </row>
    <row r="6" spans="1:22">
      <c r="B6" s="8"/>
      <c r="C6" s="99"/>
      <c r="D6" s="99"/>
      <c r="E6" s="99"/>
      <c r="F6" s="99"/>
      <c r="H6" s="100"/>
      <c r="I6" s="100"/>
      <c r="J6" s="100"/>
      <c r="K6" s="100"/>
      <c r="L6" s="100"/>
      <c r="M6" s="100"/>
      <c r="N6" s="100"/>
      <c r="O6" s="100"/>
      <c r="P6" s="27"/>
      <c r="Q6" s="27"/>
    </row>
    <row r="7" spans="1:22" ht="12.75" customHeight="1">
      <c r="B7" s="8"/>
      <c r="C7" s="50"/>
      <c r="D7" s="50"/>
      <c r="E7" s="50"/>
      <c r="F7" s="50"/>
    </row>
    <row r="8" spans="1:22" ht="13.5" thickBot="1">
      <c r="C8" s="24" t="s">
        <v>136</v>
      </c>
      <c r="D8" s="24" t="s">
        <v>91</v>
      </c>
      <c r="E8" s="24" t="s">
        <v>133</v>
      </c>
      <c r="I8" s="18" t="s">
        <v>135</v>
      </c>
      <c r="J8" s="18" t="s">
        <v>134</v>
      </c>
      <c r="K8" s="18" t="s">
        <v>133</v>
      </c>
    </row>
    <row r="9" spans="1:22" ht="13.5" thickTop="1">
      <c r="C9" s="43">
        <v>44835</v>
      </c>
      <c r="D9" s="19" t="s">
        <v>23</v>
      </c>
      <c r="E9" s="51">
        <v>4056</v>
      </c>
      <c r="I9" s="43">
        <v>44836</v>
      </c>
      <c r="J9" s="43">
        <v>44843</v>
      </c>
      <c r="K9" s="87">
        <f>SUM(_xlfn.XLOOKUP(I9,TblPizza6[Date],TblPizza6[Sales]):_xlfn.XLOOKUP(J9,TblPizza6[Date],TblPizza6[Sales]))</f>
        <v>29761</v>
      </c>
      <c r="O9" s="103" t="str">
        <f ca="1">_xlfn.FORMULATEXT(K9)</f>
        <v>=SUM(XLOOKUP(I9,TblPizza6[Date],TblPizza6[Sales]):XLOOKUP(J9,TblPizza6[Date],TblPizza6[Sales]))</v>
      </c>
      <c r="P9" s="103"/>
      <c r="Q9" s="103"/>
      <c r="R9" s="103"/>
      <c r="S9" s="103"/>
      <c r="T9" s="103"/>
      <c r="U9" s="103"/>
      <c r="V9" s="103"/>
    </row>
    <row r="10" spans="1:22">
      <c r="C10" s="43">
        <v>44836</v>
      </c>
      <c r="D10" s="19" t="s">
        <v>23</v>
      </c>
      <c r="E10" s="51">
        <v>5376</v>
      </c>
      <c r="O10" s="103"/>
      <c r="P10" s="103"/>
      <c r="Q10" s="103"/>
      <c r="R10" s="103"/>
      <c r="S10" s="103"/>
      <c r="T10" s="103"/>
      <c r="U10" s="103"/>
      <c r="V10" s="103"/>
    </row>
    <row r="11" spans="1:22">
      <c r="C11" s="43">
        <v>44837</v>
      </c>
      <c r="D11" s="19" t="s">
        <v>23</v>
      </c>
      <c r="E11" s="51">
        <v>1192</v>
      </c>
      <c r="I11" s="44"/>
      <c r="O11" s="103"/>
      <c r="P11" s="103"/>
      <c r="Q11" s="103"/>
      <c r="R11" s="103"/>
      <c r="S11" s="103"/>
      <c r="T11" s="103"/>
      <c r="U11" s="103"/>
      <c r="V11" s="103"/>
    </row>
    <row r="12" spans="1:22">
      <c r="C12" s="43">
        <v>44838</v>
      </c>
      <c r="D12" s="19" t="s">
        <v>23</v>
      </c>
      <c r="E12" s="51">
        <v>4751</v>
      </c>
      <c r="I12" s="44"/>
    </row>
    <row r="13" spans="1:22">
      <c r="C13" s="43">
        <v>44839</v>
      </c>
      <c r="D13" s="19" t="s">
        <v>23</v>
      </c>
      <c r="E13" s="51">
        <v>3417</v>
      </c>
      <c r="I13" s="87" cm="1">
        <f t="array" ref="I13:I20">_xlfn.XLOOKUP(I9,TblPizza6[Date],TblPizza6[Sales]):_xlfn.XLOOKUP(J9,TblPizza6[Date],TblPizza6[Sales])</f>
        <v>5376</v>
      </c>
      <c r="M13" s="81"/>
    </row>
    <row r="14" spans="1:22">
      <c r="C14" s="43">
        <v>44840</v>
      </c>
      <c r="D14" s="19" t="s">
        <v>23</v>
      </c>
      <c r="E14" s="51">
        <v>3975</v>
      </c>
      <c r="I14" s="44">
        <v>1192</v>
      </c>
      <c r="O14" s="102" t="s">
        <v>132</v>
      </c>
      <c r="P14" s="102"/>
      <c r="Q14" s="102"/>
      <c r="R14" s="102"/>
      <c r="S14" s="102"/>
      <c r="T14" s="102"/>
      <c r="U14" s="102"/>
      <c r="V14" s="102"/>
    </row>
    <row r="15" spans="1:22">
      <c r="C15" s="43">
        <v>44841</v>
      </c>
      <c r="D15" s="19" t="s">
        <v>23</v>
      </c>
      <c r="E15" s="51">
        <v>4569</v>
      </c>
      <c r="I15" s="44">
        <v>4751</v>
      </c>
      <c r="K15" s="44"/>
      <c r="O15" s="102"/>
      <c r="P15" s="102"/>
      <c r="Q15" s="102"/>
      <c r="R15" s="102"/>
      <c r="S15" s="102"/>
      <c r="T15" s="102"/>
      <c r="U15" s="102"/>
      <c r="V15" s="102"/>
    </row>
    <row r="16" spans="1:22">
      <c r="C16" s="43">
        <v>44842</v>
      </c>
      <c r="D16" s="19" t="s">
        <v>23</v>
      </c>
      <c r="E16" s="51">
        <v>2107</v>
      </c>
      <c r="I16" s="44">
        <v>3417</v>
      </c>
      <c r="K16" s="44">
        <f>SUM(I13:I40)</f>
        <v>29761</v>
      </c>
      <c r="O16" s="102"/>
      <c r="P16" s="102"/>
      <c r="Q16" s="102"/>
      <c r="R16" s="102"/>
      <c r="S16" s="102"/>
      <c r="T16" s="102"/>
      <c r="U16" s="102"/>
      <c r="V16" s="102"/>
    </row>
    <row r="17" spans="3:22">
      <c r="C17" s="43">
        <v>44843</v>
      </c>
      <c r="D17" s="19" t="s">
        <v>23</v>
      </c>
      <c r="E17" s="51">
        <v>4374</v>
      </c>
      <c r="I17" s="44">
        <v>3975</v>
      </c>
    </row>
    <row r="18" spans="3:22">
      <c r="C18" s="43">
        <v>44844</v>
      </c>
      <c r="D18" s="19" t="s">
        <v>23</v>
      </c>
      <c r="E18" s="51">
        <v>3069</v>
      </c>
      <c r="I18" s="44">
        <v>4569</v>
      </c>
      <c r="O18" s="102" t="s">
        <v>131</v>
      </c>
      <c r="P18" s="102"/>
      <c r="Q18" s="102"/>
      <c r="R18" s="102"/>
      <c r="S18" s="102"/>
      <c r="T18" s="102"/>
      <c r="U18" s="102"/>
      <c r="V18" s="102"/>
    </row>
    <row r="19" spans="3:22">
      <c r="C19" s="43">
        <v>44845</v>
      </c>
      <c r="D19" s="19" t="s">
        <v>23</v>
      </c>
      <c r="E19" s="51">
        <v>2333</v>
      </c>
      <c r="I19" s="44">
        <v>2107</v>
      </c>
      <c r="O19" s="102"/>
      <c r="P19" s="102"/>
      <c r="Q19" s="102"/>
      <c r="R19" s="102"/>
      <c r="S19" s="102"/>
      <c r="T19" s="102"/>
      <c r="U19" s="102"/>
      <c r="V19" s="102"/>
    </row>
    <row r="20" spans="3:22">
      <c r="C20" s="43">
        <v>44846</v>
      </c>
      <c r="D20" s="19" t="s">
        <v>23</v>
      </c>
      <c r="E20" s="51">
        <v>3519</v>
      </c>
      <c r="I20" s="44">
        <v>4374</v>
      </c>
      <c r="O20" s="102"/>
      <c r="P20" s="102"/>
      <c r="Q20" s="102"/>
      <c r="R20" s="102"/>
      <c r="S20" s="102"/>
      <c r="T20" s="102"/>
      <c r="U20" s="102"/>
      <c r="V20" s="102"/>
    </row>
    <row r="21" spans="3:22">
      <c r="C21" s="43">
        <v>44847</v>
      </c>
      <c r="D21" s="19" t="s">
        <v>23</v>
      </c>
      <c r="E21" s="51">
        <v>5331</v>
      </c>
      <c r="I21" s="44"/>
    </row>
    <row r="22" spans="3:22">
      <c r="C22" s="43">
        <v>44848</v>
      </c>
      <c r="D22" s="19" t="s">
        <v>23</v>
      </c>
      <c r="E22" s="51">
        <v>5138</v>
      </c>
      <c r="I22" s="44"/>
    </row>
    <row r="23" spans="3:22">
      <c r="C23" s="43">
        <v>44849</v>
      </c>
      <c r="D23" s="19" t="s">
        <v>23</v>
      </c>
      <c r="E23" s="51">
        <v>3688</v>
      </c>
      <c r="I23" s="44"/>
    </row>
    <row r="24" spans="3:22">
      <c r="C24" s="43">
        <v>44850</v>
      </c>
      <c r="D24" s="19" t="s">
        <v>23</v>
      </c>
      <c r="E24" s="51">
        <v>4808</v>
      </c>
      <c r="I24" s="44"/>
    </row>
    <row r="25" spans="3:22">
      <c r="C25" s="43">
        <v>44851</v>
      </c>
      <c r="D25" s="19" t="s">
        <v>23</v>
      </c>
      <c r="E25" s="51">
        <v>4631</v>
      </c>
      <c r="I25" s="44"/>
    </row>
    <row r="26" spans="3:22">
      <c r="C26" s="43">
        <v>44852</v>
      </c>
      <c r="D26" s="19" t="s">
        <v>23</v>
      </c>
      <c r="E26" s="51">
        <v>3772</v>
      </c>
      <c r="I26" s="44"/>
    </row>
    <row r="27" spans="3:22">
      <c r="C27" s="43">
        <v>44853</v>
      </c>
      <c r="D27" s="19" t="s">
        <v>23</v>
      </c>
      <c r="E27" s="51">
        <v>2797</v>
      </c>
      <c r="I27" s="44"/>
    </row>
    <row r="28" spans="3:22">
      <c r="C28" s="43">
        <v>44854</v>
      </c>
      <c r="D28" s="19" t="s">
        <v>23</v>
      </c>
      <c r="E28" s="51">
        <v>3457</v>
      </c>
      <c r="I28" s="44"/>
    </row>
    <row r="29" spans="3:22">
      <c r="C29" s="43">
        <v>44855</v>
      </c>
      <c r="D29" s="19" t="s">
        <v>23</v>
      </c>
      <c r="E29" s="51">
        <v>5516</v>
      </c>
      <c r="I29" s="44"/>
    </row>
    <row r="30" spans="3:22">
      <c r="C30" s="43">
        <v>44856</v>
      </c>
      <c r="D30" s="19" t="s">
        <v>23</v>
      </c>
      <c r="E30" s="51">
        <v>1619</v>
      </c>
      <c r="I30" s="44"/>
    </row>
    <row r="31" spans="3:22">
      <c r="I31" s="44"/>
    </row>
    <row r="32" spans="3:22">
      <c r="I32" s="44"/>
    </row>
    <row r="33" spans="9:9">
      <c r="I33" s="44"/>
    </row>
    <row r="34" spans="9:9">
      <c r="I34" s="44"/>
    </row>
    <row r="35" spans="9:9">
      <c r="I35" s="44"/>
    </row>
    <row r="36" spans="9:9">
      <c r="I36" s="44"/>
    </row>
    <row r="37" spans="9:9">
      <c r="I37" s="44"/>
    </row>
    <row r="38" spans="9:9">
      <c r="I38" s="44"/>
    </row>
    <row r="39" spans="9:9">
      <c r="I39" s="44"/>
    </row>
    <row r="40" spans="9:9">
      <c r="I40" s="44"/>
    </row>
    <row r="41" spans="9:9">
      <c r="I41" s="44"/>
    </row>
    <row r="42" spans="9:9">
      <c r="I42" s="44"/>
    </row>
    <row r="43" spans="9:9">
      <c r="I43" s="44"/>
    </row>
    <row r="44" spans="9:9">
      <c r="I44" s="44"/>
    </row>
    <row r="45" spans="9:9">
      <c r="I45" s="44"/>
    </row>
    <row r="46" spans="9:9">
      <c r="I46" s="44"/>
    </row>
    <row r="47" spans="9:9">
      <c r="I47" s="44"/>
    </row>
    <row r="48" spans="9:9">
      <c r="I48" s="44"/>
    </row>
    <row r="49" spans="9:9">
      <c r="I49" s="44"/>
    </row>
    <row r="50" spans="9:9">
      <c r="I50" s="44"/>
    </row>
  </sheetData>
  <mergeCells count="5">
    <mergeCell ref="O18:V20"/>
    <mergeCell ref="O9:V11"/>
    <mergeCell ref="O14:V16"/>
    <mergeCell ref="C2:F6"/>
    <mergeCell ref="H2:O6"/>
  </mergeCells>
  <dataValidations count="2">
    <dataValidation type="list" allowBlank="1" showInputMessage="1" showErrorMessage="1" sqref="I9:J9" xr:uid="{8D4BF092-02EA-403E-AADE-FE340B13D878}">
      <formula1>INDIRECT("TblPizza6[Date]")</formula1>
    </dataValidation>
    <dataValidation type="list" allowBlank="1" showInputMessage="1" showErrorMessage="1" sqref="M13" xr:uid="{531AF6F9-44D1-4D33-BA8D-294A95E66F30}">
      <formula1>Dlist</formula1>
    </dataValidation>
  </dataValidations>
  <hyperlinks>
    <hyperlink ref="Q2" location="'About and Summary'!A1" display="Home" xr:uid="{B8282AF7-F4BF-4C72-9F3C-F1F8CFE0D572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7965A-220D-4BA4-9A37-9CB9B3F9530C}">
  <sheetPr>
    <tabColor theme="9" tint="0.59999389629810485"/>
  </sheetPr>
  <dimension ref="A1:W50"/>
  <sheetViews>
    <sheetView showGridLines="0" workbookViewId="0">
      <selection activeCell="K10" sqref="K10"/>
    </sheetView>
  </sheetViews>
  <sheetFormatPr defaultColWidth="8.85546875" defaultRowHeight="12.75"/>
  <cols>
    <col min="1" max="1" width="8.85546875" style="19"/>
    <col min="2" max="2" width="10.28515625" style="19" bestFit="1" customWidth="1"/>
    <col min="3" max="3" width="16.42578125" style="19" bestFit="1" customWidth="1"/>
    <col min="4" max="4" width="16.42578125" style="19" customWidth="1"/>
    <col min="5" max="5" width="10.28515625" style="19" bestFit="1" customWidth="1"/>
    <col min="6" max="6" width="3.7109375" style="19" customWidth="1"/>
    <col min="7" max="9" width="8.85546875" style="19"/>
    <col min="10" max="11" width="8.5703125" style="19" bestFit="1" customWidth="1"/>
    <col min="12" max="12" width="10.85546875" style="19" customWidth="1"/>
    <col min="13" max="16384" width="8.85546875" style="19"/>
  </cols>
  <sheetData>
    <row r="1" spans="1:23" s="29" customFormat="1" ht="13.5" thickBot="1">
      <c r="A1" s="28" t="s">
        <v>198</v>
      </c>
    </row>
    <row r="2" spans="1:23" ht="13.5" thickTop="1">
      <c r="B2" s="99" t="s">
        <v>8</v>
      </c>
      <c r="C2" s="99"/>
      <c r="D2" s="99"/>
      <c r="E2" s="99"/>
      <c r="F2" s="99"/>
      <c r="G2" s="99"/>
      <c r="I2" s="100" t="s">
        <v>11</v>
      </c>
      <c r="J2" s="100"/>
      <c r="K2" s="100"/>
      <c r="L2" s="100"/>
      <c r="M2" s="100"/>
      <c r="N2" s="100"/>
      <c r="O2" s="100"/>
      <c r="P2" s="100"/>
      <c r="Q2" s="27"/>
      <c r="R2" s="49" t="s">
        <v>88</v>
      </c>
    </row>
    <row r="3" spans="1:23">
      <c r="B3" s="99"/>
      <c r="C3" s="99"/>
      <c r="D3" s="99"/>
      <c r="E3" s="99"/>
      <c r="F3" s="99"/>
      <c r="G3" s="99"/>
      <c r="I3" s="100"/>
      <c r="J3" s="100"/>
      <c r="K3" s="100"/>
      <c r="L3" s="100"/>
      <c r="M3" s="100"/>
      <c r="N3" s="100"/>
      <c r="O3" s="100"/>
      <c r="P3" s="100"/>
      <c r="Q3" s="27"/>
      <c r="R3" s="27"/>
    </row>
    <row r="4" spans="1:23">
      <c r="B4" s="99"/>
      <c r="C4" s="99"/>
      <c r="D4" s="99"/>
      <c r="E4" s="99"/>
      <c r="F4" s="99"/>
      <c r="G4" s="99"/>
      <c r="I4" s="100"/>
      <c r="J4" s="100"/>
      <c r="K4" s="100"/>
      <c r="L4" s="100"/>
      <c r="M4" s="100"/>
      <c r="N4" s="100"/>
      <c r="O4" s="100"/>
      <c r="P4" s="100"/>
      <c r="Q4" s="27"/>
      <c r="R4" s="27"/>
    </row>
    <row r="5" spans="1:23">
      <c r="B5" s="99"/>
      <c r="C5" s="99"/>
      <c r="D5" s="99"/>
      <c r="E5" s="99"/>
      <c r="F5" s="99"/>
      <c r="G5" s="99"/>
      <c r="I5" s="100"/>
      <c r="J5" s="100"/>
      <c r="K5" s="100"/>
      <c r="L5" s="100"/>
      <c r="M5" s="100"/>
      <c r="N5" s="100"/>
      <c r="O5" s="100"/>
      <c r="P5" s="100"/>
      <c r="Q5" s="27"/>
      <c r="R5" s="27"/>
    </row>
    <row r="6" spans="1:23">
      <c r="B6" s="99"/>
      <c r="C6" s="99"/>
      <c r="D6" s="99"/>
      <c r="E6" s="99"/>
      <c r="F6" s="99"/>
      <c r="G6" s="99"/>
      <c r="I6" s="100"/>
      <c r="J6" s="100"/>
      <c r="K6" s="100"/>
      <c r="L6" s="100"/>
      <c r="M6" s="100"/>
      <c r="N6" s="100"/>
      <c r="O6" s="100"/>
      <c r="P6" s="100"/>
      <c r="Q6" s="27"/>
      <c r="R6" s="27"/>
    </row>
    <row r="7" spans="1:23" ht="12.75" customHeight="1">
      <c r="B7" s="71"/>
      <c r="C7" s="71"/>
      <c r="D7" s="71"/>
      <c r="E7" s="71"/>
      <c r="F7" s="71"/>
      <c r="G7" s="71"/>
    </row>
    <row r="8" spans="1:23" ht="24" thickBot="1">
      <c r="B8" s="24" t="s">
        <v>136</v>
      </c>
      <c r="C8" s="24" t="s">
        <v>91</v>
      </c>
      <c r="D8" s="24" t="s">
        <v>157</v>
      </c>
      <c r="E8" s="24" t="s">
        <v>133</v>
      </c>
      <c r="F8" s="71"/>
      <c r="J8" s="18" t="s">
        <v>157</v>
      </c>
      <c r="K8" s="18" t="s">
        <v>197</v>
      </c>
      <c r="L8" s="18"/>
    </row>
    <row r="9" spans="1:23" ht="13.5" thickTop="1">
      <c r="B9" s="43">
        <v>44563</v>
      </c>
      <c r="C9" s="19" t="s">
        <v>23</v>
      </c>
      <c r="D9" s="19" t="s">
        <v>195</v>
      </c>
      <c r="E9" s="76">
        <v>4056</v>
      </c>
      <c r="F9" s="51"/>
      <c r="G9" s="34" t="b" cm="1">
        <f t="array" ref="G9">E9&gt;_xlfn.XLOOKUP(TblPizza612[[#This Row],[Location]],_xlfn.ANCHORARRAY($J$9),$K$9:$K$10)</f>
        <v>1</v>
      </c>
      <c r="J9" s="77" t="str" cm="1">
        <f t="array" ref="J9:J10">_xlfn.UNIQUE(TblPizza612[Location])</f>
        <v>Central</v>
      </c>
      <c r="K9" s="78">
        <v>4000</v>
      </c>
      <c r="L9" s="77"/>
      <c r="P9" s="103" t="str">
        <f ca="1">_xlfn.FORMULATEXT(G9)</f>
        <v>=E9&gt;XLOOKUP(TblPizza612[@Location],$J$9#,$K$9:$K$10)</v>
      </c>
      <c r="Q9" s="103"/>
      <c r="R9" s="103"/>
      <c r="S9" s="103"/>
      <c r="T9" s="103"/>
      <c r="U9" s="103"/>
      <c r="V9" s="103"/>
      <c r="W9" s="103"/>
    </row>
    <row r="10" spans="1:23">
      <c r="B10" s="43">
        <v>44563</v>
      </c>
      <c r="C10" s="19" t="s">
        <v>23</v>
      </c>
      <c r="D10" s="19" t="s">
        <v>196</v>
      </c>
      <c r="E10" s="76">
        <v>5376</v>
      </c>
      <c r="F10" s="51"/>
      <c r="G10" s="34" t="b" cm="1">
        <f t="array" ref="G10">E10&gt;_xlfn.XLOOKUP(TblPizza612[[#This Row],[Location]],_xlfn.ANCHORARRAY($J$9),$K$9:$K$10)</f>
        <v>1</v>
      </c>
      <c r="J10" s="79" t="str">
        <v>By the lake</v>
      </c>
      <c r="K10" s="80">
        <v>5000</v>
      </c>
      <c r="L10" s="79"/>
      <c r="P10" s="103"/>
      <c r="Q10" s="103"/>
      <c r="R10" s="103"/>
      <c r="S10" s="103"/>
      <c r="T10" s="103"/>
      <c r="U10" s="103"/>
      <c r="V10" s="103"/>
      <c r="W10" s="103"/>
    </row>
    <row r="11" spans="1:23">
      <c r="B11" s="43">
        <v>44564</v>
      </c>
      <c r="C11" s="19" t="s">
        <v>23</v>
      </c>
      <c r="D11" s="19" t="s">
        <v>195</v>
      </c>
      <c r="E11" s="76">
        <v>1192</v>
      </c>
      <c r="F11" s="51"/>
      <c r="G11" s="34" t="b" cm="1">
        <f t="array" ref="G11">E11&gt;_xlfn.XLOOKUP(TblPizza612[[#This Row],[Location]],_xlfn.ANCHORARRAY($J$9),$K$9:$K$10)</f>
        <v>0</v>
      </c>
      <c r="J11" s="44"/>
      <c r="P11" s="103"/>
      <c r="Q11" s="103"/>
      <c r="R11" s="103"/>
      <c r="S11" s="103"/>
      <c r="T11" s="103"/>
      <c r="U11" s="103"/>
      <c r="V11" s="103"/>
      <c r="W11" s="103"/>
    </row>
    <row r="12" spans="1:23">
      <c r="B12" s="43">
        <v>44565</v>
      </c>
      <c r="C12" s="19" t="s">
        <v>23</v>
      </c>
      <c r="D12" s="19" t="s">
        <v>195</v>
      </c>
      <c r="E12" s="76">
        <v>4751</v>
      </c>
      <c r="F12" s="51"/>
      <c r="G12" s="34" t="b" cm="1">
        <f t="array" ref="G12">E12&gt;_xlfn.XLOOKUP(TblPizza612[[#This Row],[Location]],_xlfn.ANCHORARRAY($J$9),$K$9:$K$10)</f>
        <v>1</v>
      </c>
      <c r="J12" s="44"/>
    </row>
    <row r="13" spans="1:23">
      <c r="B13" s="43">
        <v>44564</v>
      </c>
      <c r="C13" s="19" t="s">
        <v>23</v>
      </c>
      <c r="D13" s="19" t="s">
        <v>196</v>
      </c>
      <c r="E13" s="76">
        <v>3417</v>
      </c>
      <c r="F13" s="51"/>
      <c r="G13" s="34" t="b" cm="1">
        <f t="array" ref="G13">E13&gt;_xlfn.XLOOKUP(TblPizza612[[#This Row],[Location]],_xlfn.ANCHORARRAY($J$9),$K$9:$K$10)</f>
        <v>0</v>
      </c>
      <c r="J13" s="44"/>
    </row>
    <row r="14" spans="1:23">
      <c r="B14" s="43">
        <v>44566</v>
      </c>
      <c r="C14" s="19" t="s">
        <v>23</v>
      </c>
      <c r="D14" s="19" t="s">
        <v>195</v>
      </c>
      <c r="E14" s="76">
        <v>3975</v>
      </c>
      <c r="F14" s="51"/>
      <c r="G14" s="34" t="b" cm="1">
        <f t="array" ref="G14">E14&gt;_xlfn.XLOOKUP(TblPizza612[[#This Row],[Location]],_xlfn.ANCHORARRAY($J$9),$K$9:$K$10)</f>
        <v>0</v>
      </c>
      <c r="J14" s="44"/>
      <c r="P14" s="102"/>
      <c r="Q14" s="102"/>
      <c r="R14" s="102"/>
      <c r="S14" s="102"/>
      <c r="T14" s="102"/>
      <c r="U14" s="102"/>
      <c r="V14" s="102"/>
      <c r="W14" s="102"/>
    </row>
    <row r="15" spans="1:23">
      <c r="B15" s="43">
        <v>44565</v>
      </c>
      <c r="C15" s="19" t="s">
        <v>23</v>
      </c>
      <c r="D15" s="19" t="s">
        <v>196</v>
      </c>
      <c r="E15" s="76">
        <v>4569</v>
      </c>
      <c r="F15" s="51"/>
      <c r="G15" s="34" t="b" cm="1">
        <f t="array" ref="G15">E15&gt;_xlfn.XLOOKUP(TblPizza612[[#This Row],[Location]],_xlfn.ANCHORARRAY($J$9),$K$9:$K$10)</f>
        <v>0</v>
      </c>
      <c r="J15" s="44"/>
      <c r="L15" s="44"/>
      <c r="P15" s="102"/>
      <c r="Q15" s="102"/>
      <c r="R15" s="102"/>
      <c r="S15" s="102"/>
      <c r="T15" s="102"/>
      <c r="U15" s="102"/>
      <c r="V15" s="102"/>
      <c r="W15" s="102"/>
    </row>
    <row r="16" spans="1:23">
      <c r="B16" s="43">
        <v>44566</v>
      </c>
      <c r="C16" s="19" t="s">
        <v>23</v>
      </c>
      <c r="D16" s="19" t="s">
        <v>196</v>
      </c>
      <c r="E16" s="76">
        <v>2107</v>
      </c>
      <c r="F16" s="51"/>
      <c r="G16" s="34" t="b" cm="1">
        <f t="array" ref="G16">E16&gt;_xlfn.XLOOKUP(TblPizza612[[#This Row],[Location]],_xlfn.ANCHORARRAY($J$9),$K$9:$K$10)</f>
        <v>0</v>
      </c>
      <c r="J16" s="44"/>
      <c r="L16" s="44"/>
      <c r="P16" s="102"/>
      <c r="Q16" s="102"/>
      <c r="R16" s="102"/>
      <c r="S16" s="102"/>
      <c r="T16" s="102"/>
      <c r="U16" s="102"/>
      <c r="V16" s="102"/>
      <c r="W16" s="102"/>
    </row>
    <row r="17" spans="2:23">
      <c r="B17" s="43">
        <v>44567</v>
      </c>
      <c r="C17" s="19" t="s">
        <v>23</v>
      </c>
      <c r="D17" s="19" t="s">
        <v>195</v>
      </c>
      <c r="E17" s="76">
        <v>4374</v>
      </c>
      <c r="F17" s="51"/>
      <c r="G17" s="34" t="b" cm="1">
        <f t="array" ref="G17">E17&gt;_xlfn.XLOOKUP(TblPizza612[[#This Row],[Location]],_xlfn.ANCHORARRAY($J$9),$K$9:$K$10)</f>
        <v>1</v>
      </c>
      <c r="J17" s="44"/>
    </row>
    <row r="18" spans="2:23">
      <c r="B18" s="43">
        <v>44567</v>
      </c>
      <c r="C18" s="19" t="s">
        <v>23</v>
      </c>
      <c r="D18" s="19" t="s">
        <v>196</v>
      </c>
      <c r="E18" s="76">
        <v>3069</v>
      </c>
      <c r="F18" s="51"/>
      <c r="G18" s="34" t="b" cm="1">
        <f t="array" ref="G18">E18&gt;_xlfn.XLOOKUP(TblPizza612[[#This Row],[Location]],_xlfn.ANCHORARRAY($J$9),$K$9:$K$10)</f>
        <v>0</v>
      </c>
      <c r="J18" s="44"/>
      <c r="P18" s="102"/>
      <c r="Q18" s="102"/>
      <c r="R18" s="102"/>
      <c r="S18" s="102"/>
      <c r="T18" s="102"/>
      <c r="U18" s="102"/>
      <c r="V18" s="102"/>
      <c r="W18" s="102"/>
    </row>
    <row r="19" spans="2:23">
      <c r="B19" s="43">
        <v>44568</v>
      </c>
      <c r="C19" s="19" t="s">
        <v>23</v>
      </c>
      <c r="D19" s="19" t="s">
        <v>195</v>
      </c>
      <c r="E19" s="76">
        <v>2333</v>
      </c>
      <c r="F19" s="51"/>
      <c r="G19" s="34" t="b" cm="1">
        <f t="array" ref="G19">E19&gt;_xlfn.XLOOKUP(TblPizza612[[#This Row],[Location]],_xlfn.ANCHORARRAY($J$9),$K$9:$K$10)</f>
        <v>0</v>
      </c>
      <c r="J19" s="44"/>
      <c r="P19" s="102"/>
      <c r="Q19" s="102"/>
      <c r="R19" s="102"/>
      <c r="S19" s="102"/>
      <c r="T19" s="102"/>
      <c r="U19" s="102"/>
      <c r="V19" s="102"/>
      <c r="W19" s="102"/>
    </row>
    <row r="20" spans="2:23">
      <c r="B20" s="43">
        <v>44569</v>
      </c>
      <c r="C20" s="19" t="s">
        <v>23</v>
      </c>
      <c r="D20" s="19" t="s">
        <v>195</v>
      </c>
      <c r="E20" s="76">
        <v>3519</v>
      </c>
      <c r="F20" s="51"/>
      <c r="G20" s="34" t="b" cm="1">
        <f t="array" ref="G20">E20&gt;_xlfn.XLOOKUP(TblPizza612[[#This Row],[Location]],_xlfn.ANCHORARRAY($J$9),$K$9:$K$10)</f>
        <v>0</v>
      </c>
      <c r="J20" s="44"/>
      <c r="P20" s="102"/>
      <c r="Q20" s="102"/>
      <c r="R20" s="102"/>
      <c r="S20" s="102"/>
      <c r="T20" s="102"/>
      <c r="U20" s="102"/>
      <c r="V20" s="102"/>
      <c r="W20" s="102"/>
    </row>
    <row r="21" spans="2:23">
      <c r="B21" s="43">
        <v>44570</v>
      </c>
      <c r="C21" s="19" t="s">
        <v>23</v>
      </c>
      <c r="D21" s="19" t="s">
        <v>195</v>
      </c>
      <c r="E21" s="76">
        <v>5331</v>
      </c>
      <c r="F21" s="51"/>
      <c r="G21" s="34" t="b" cm="1">
        <f t="array" ref="G21">E21&gt;_xlfn.XLOOKUP(TblPizza612[[#This Row],[Location]],_xlfn.ANCHORARRAY($J$9),$K$9:$K$10)</f>
        <v>1</v>
      </c>
      <c r="J21" s="44"/>
    </row>
    <row r="22" spans="2:23">
      <c r="B22" s="43">
        <v>44568</v>
      </c>
      <c r="C22" s="19" t="s">
        <v>23</v>
      </c>
      <c r="D22" s="19" t="s">
        <v>196</v>
      </c>
      <c r="E22" s="76">
        <v>5138</v>
      </c>
      <c r="F22" s="51"/>
      <c r="G22" s="34" t="b" cm="1">
        <f t="array" ref="G22">E22&gt;_xlfn.XLOOKUP(TblPizza612[[#This Row],[Location]],_xlfn.ANCHORARRAY($J$9),$K$9:$K$10)</f>
        <v>1</v>
      </c>
      <c r="J22" s="44"/>
    </row>
    <row r="23" spans="2:23">
      <c r="B23" s="43">
        <v>44571</v>
      </c>
      <c r="C23" s="19" t="s">
        <v>23</v>
      </c>
      <c r="D23" s="19" t="s">
        <v>195</v>
      </c>
      <c r="E23" s="76">
        <v>3688</v>
      </c>
      <c r="F23" s="51"/>
      <c r="G23" s="34" t="b" cm="1">
        <f t="array" ref="G23">E23&gt;_xlfn.XLOOKUP(TblPizza612[[#This Row],[Location]],_xlfn.ANCHORARRAY($J$9),$K$9:$K$10)</f>
        <v>0</v>
      </c>
      <c r="J23" s="44"/>
    </row>
    <row r="24" spans="2:23">
      <c r="B24" s="43">
        <v>44569</v>
      </c>
      <c r="C24" s="19" t="s">
        <v>23</v>
      </c>
      <c r="D24" s="19" t="s">
        <v>196</v>
      </c>
      <c r="E24" s="76">
        <v>4808</v>
      </c>
      <c r="F24" s="51"/>
      <c r="G24" s="34" t="b" cm="1">
        <f t="array" ref="G24">E24&gt;_xlfn.XLOOKUP(TblPizza612[[#This Row],[Location]],_xlfn.ANCHORARRAY($J$9),$K$9:$K$10)</f>
        <v>0</v>
      </c>
      <c r="J24" s="44"/>
    </row>
    <row r="25" spans="2:23">
      <c r="F25" s="51"/>
      <c r="J25" s="44"/>
    </row>
    <row r="26" spans="2:23">
      <c r="F26" s="51"/>
      <c r="J26" s="44"/>
    </row>
    <row r="27" spans="2:23">
      <c r="F27" s="51"/>
      <c r="J27" s="44"/>
    </row>
    <row r="28" spans="2:23">
      <c r="F28" s="51"/>
      <c r="J28" s="44"/>
    </row>
    <row r="29" spans="2:23">
      <c r="F29" s="51"/>
      <c r="J29" s="44"/>
    </row>
    <row r="30" spans="2:23">
      <c r="F30" s="51"/>
      <c r="J30" s="44"/>
    </row>
    <row r="31" spans="2:23">
      <c r="J31" s="44"/>
    </row>
    <row r="32" spans="2:23">
      <c r="J32" s="44"/>
    </row>
    <row r="33" spans="10:10">
      <c r="J33" s="44"/>
    </row>
    <row r="34" spans="10:10">
      <c r="J34" s="44"/>
    </row>
    <row r="35" spans="10:10">
      <c r="J35" s="44"/>
    </row>
    <row r="36" spans="10:10">
      <c r="J36" s="44"/>
    </row>
    <row r="37" spans="10:10">
      <c r="J37" s="44"/>
    </row>
    <row r="38" spans="10:10">
      <c r="J38" s="44"/>
    </row>
    <row r="39" spans="10:10">
      <c r="J39" s="44"/>
    </row>
    <row r="40" spans="10:10">
      <c r="J40" s="44"/>
    </row>
    <row r="41" spans="10:10">
      <c r="J41" s="44"/>
    </row>
    <row r="42" spans="10:10">
      <c r="J42" s="44"/>
    </row>
    <row r="43" spans="10:10">
      <c r="J43" s="44"/>
    </row>
    <row r="44" spans="10:10">
      <c r="J44" s="44"/>
    </row>
    <row r="45" spans="10:10">
      <c r="J45" s="44"/>
    </row>
    <row r="46" spans="10:10">
      <c r="J46" s="44"/>
    </row>
    <row r="47" spans="10:10">
      <c r="J47" s="44"/>
    </row>
    <row r="48" spans="10:10">
      <c r="J48" s="44"/>
    </row>
    <row r="49" spans="10:10">
      <c r="J49" s="44"/>
    </row>
    <row r="50" spans="10:10">
      <c r="J50" s="44"/>
    </row>
  </sheetData>
  <mergeCells count="5">
    <mergeCell ref="B2:G6"/>
    <mergeCell ref="I2:P6"/>
    <mergeCell ref="P9:W11"/>
    <mergeCell ref="P14:W16"/>
    <mergeCell ref="P18:W20"/>
  </mergeCells>
  <conditionalFormatting sqref="B9:E24">
    <cfRule type="expression" dxfId="32" priority="1">
      <formula>$E9&gt;_xlfn.XLOOKUP($D9,_xlfn.ANCHORARRAY($J$9),$K$9:$K$10)</formula>
    </cfRule>
  </conditionalFormatting>
  <hyperlinks>
    <hyperlink ref="R2" location="'About and Summary'!A1" display="Home" xr:uid="{1BFDE999-19AA-4DBB-981C-C0C7C663AE0D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3B4CD-DFDB-416C-87B5-FE7DB517C30D}">
  <sheetPr>
    <tabColor theme="9" tint="0.59999389629810485"/>
  </sheetPr>
  <dimension ref="A1:T31"/>
  <sheetViews>
    <sheetView showGridLines="0" workbookViewId="0">
      <selection activeCell="M22" sqref="M22"/>
    </sheetView>
  </sheetViews>
  <sheetFormatPr defaultColWidth="8.85546875" defaultRowHeight="12.75"/>
  <cols>
    <col min="1" max="2" width="4.140625" style="19" customWidth="1"/>
    <col min="3" max="3" width="10.28515625" style="19" bestFit="1" customWidth="1"/>
    <col min="4" max="4" width="16.42578125" style="19" bestFit="1" customWidth="1"/>
    <col min="5" max="6" width="16.42578125" style="19" customWidth="1"/>
    <col min="7" max="7" width="8.85546875" style="19"/>
    <col min="8" max="8" width="6.28515625" style="19" bestFit="1" customWidth="1"/>
    <col min="9" max="9" width="9.7109375" style="19" bestFit="1" customWidth="1"/>
    <col min="10" max="10" width="10" style="19" bestFit="1" customWidth="1"/>
    <col min="11" max="12" width="8.85546875" style="19"/>
    <col min="13" max="13" width="17.5703125" style="19" customWidth="1"/>
    <col min="14" max="16384" width="8.85546875" style="19"/>
  </cols>
  <sheetData>
    <row r="1" spans="1:20" s="29" customFormat="1" ht="13.5" thickBot="1">
      <c r="A1" s="28" t="s">
        <v>138</v>
      </c>
    </row>
    <row r="2" spans="1:20" ht="13.5" thickTop="1">
      <c r="B2" s="8"/>
      <c r="C2" s="99" t="s">
        <v>8</v>
      </c>
      <c r="D2" s="99"/>
      <c r="E2" s="99"/>
      <c r="F2" s="99"/>
      <c r="H2" s="100" t="s">
        <v>11</v>
      </c>
      <c r="I2" s="100"/>
      <c r="J2" s="100"/>
      <c r="K2" s="100"/>
      <c r="L2" s="100"/>
      <c r="M2" s="100"/>
      <c r="N2" s="100"/>
      <c r="O2" s="100"/>
      <c r="Q2" s="49" t="s">
        <v>88</v>
      </c>
    </row>
    <row r="3" spans="1:20">
      <c r="B3" s="8"/>
      <c r="C3" s="99"/>
      <c r="D3" s="99"/>
      <c r="E3" s="99"/>
      <c r="F3" s="99"/>
      <c r="H3" s="100"/>
      <c r="I3" s="100"/>
      <c r="J3" s="100"/>
      <c r="K3" s="100"/>
      <c r="L3" s="100"/>
      <c r="M3" s="100"/>
      <c r="N3" s="100"/>
      <c r="O3" s="100"/>
    </row>
    <row r="4" spans="1:20">
      <c r="B4" s="8"/>
      <c r="C4" s="99"/>
      <c r="D4" s="99"/>
      <c r="E4" s="99"/>
      <c r="F4" s="99"/>
      <c r="H4" s="100"/>
      <c r="I4" s="100"/>
      <c r="J4" s="100"/>
      <c r="K4" s="100"/>
      <c r="L4" s="100"/>
      <c r="M4" s="100"/>
      <c r="N4" s="100"/>
      <c r="O4" s="100"/>
    </row>
    <row r="5" spans="1:20">
      <c r="B5" s="8"/>
      <c r="C5" s="99"/>
      <c r="D5" s="99"/>
      <c r="E5" s="99"/>
      <c r="F5" s="99"/>
      <c r="H5" s="100"/>
      <c r="I5" s="100"/>
      <c r="J5" s="100"/>
      <c r="K5" s="100"/>
      <c r="L5" s="100"/>
      <c r="M5" s="100"/>
      <c r="N5" s="100"/>
      <c r="O5" s="100"/>
    </row>
    <row r="6" spans="1:20">
      <c r="B6" s="8"/>
      <c r="C6" s="99"/>
      <c r="D6" s="99"/>
      <c r="E6" s="99"/>
      <c r="F6" s="99"/>
      <c r="H6" s="100"/>
      <c r="I6" s="100"/>
      <c r="J6" s="100"/>
      <c r="K6" s="100"/>
      <c r="L6" s="100"/>
      <c r="M6" s="100"/>
      <c r="N6" s="100"/>
      <c r="O6" s="100"/>
    </row>
    <row r="7" spans="1:20" ht="12.75" customHeight="1">
      <c r="B7" s="8"/>
      <c r="C7" s="71"/>
      <c r="D7" s="71"/>
      <c r="E7" s="71"/>
      <c r="F7" s="71"/>
    </row>
    <row r="8" spans="1:20" ht="12.75" customHeight="1">
      <c r="B8" s="8"/>
      <c r="C8" s="71"/>
      <c r="D8" s="71"/>
      <c r="E8" s="71"/>
      <c r="F8" s="71"/>
      <c r="H8" s="19" t="s">
        <v>139</v>
      </c>
    </row>
    <row r="9" spans="1:20" ht="13.5" thickBot="1">
      <c r="C9" s="24" t="s">
        <v>140</v>
      </c>
      <c r="D9" s="24" t="s">
        <v>23</v>
      </c>
      <c r="E9" s="24" t="s">
        <v>39</v>
      </c>
      <c r="F9" s="24" t="s">
        <v>40</v>
      </c>
      <c r="H9" s="18" t="s">
        <v>140</v>
      </c>
      <c r="I9" s="18" t="s">
        <v>91</v>
      </c>
      <c r="J9" s="18" t="s">
        <v>133</v>
      </c>
    </row>
    <row r="10" spans="1:20" ht="13.5" thickTop="1">
      <c r="C10" s="43" t="s">
        <v>141</v>
      </c>
      <c r="D10" s="75">
        <v>2090</v>
      </c>
      <c r="E10" s="75">
        <v>9669</v>
      </c>
      <c r="F10" s="75">
        <v>8545</v>
      </c>
      <c r="H10" s="19" t="s">
        <v>144</v>
      </c>
      <c r="I10" s="19" t="s">
        <v>23</v>
      </c>
      <c r="J10" s="88" cm="1">
        <f t="array" ref="J10">_xlfn.XLOOKUP(H10,TblPizza3[Month],_xlfn.XLOOKUP(I10,TblPizza3[[#Headers],[Margherita]:[Napoletana]],TblPizza3[[Margherita]:[Napoletana]]))</f>
        <v>9171</v>
      </c>
      <c r="N10" s="104" t="s">
        <v>143</v>
      </c>
      <c r="O10" s="104"/>
      <c r="P10" s="104"/>
      <c r="Q10" s="104"/>
      <c r="R10" s="104"/>
      <c r="S10" s="104"/>
      <c r="T10" s="104"/>
    </row>
    <row r="11" spans="1:20">
      <c r="C11" s="43" t="s">
        <v>144</v>
      </c>
      <c r="D11" s="75">
        <v>9171</v>
      </c>
      <c r="E11" s="76">
        <v>14814</v>
      </c>
      <c r="F11" s="75">
        <v>11928</v>
      </c>
      <c r="N11" s="104"/>
      <c r="O11" s="104"/>
      <c r="P11" s="104"/>
      <c r="Q11" s="104"/>
      <c r="R11" s="104"/>
      <c r="S11" s="104"/>
      <c r="T11" s="104"/>
    </row>
    <row r="12" spans="1:20">
      <c r="C12" s="43" t="s">
        <v>145</v>
      </c>
      <c r="D12" s="75">
        <v>5676</v>
      </c>
      <c r="E12" s="76">
        <v>14284</v>
      </c>
      <c r="F12" s="75">
        <v>10404</v>
      </c>
      <c r="N12" s="104"/>
      <c r="O12" s="104"/>
      <c r="P12" s="104"/>
      <c r="Q12" s="104"/>
      <c r="R12" s="104"/>
      <c r="S12" s="104"/>
      <c r="T12" s="104"/>
    </row>
    <row r="13" spans="1:20">
      <c r="C13" s="43" t="s">
        <v>146</v>
      </c>
      <c r="D13" s="75">
        <v>6890</v>
      </c>
      <c r="E13" s="76">
        <v>1711</v>
      </c>
      <c r="F13" s="75">
        <v>12918</v>
      </c>
      <c r="N13" s="104"/>
      <c r="O13" s="104"/>
      <c r="P13" s="104"/>
      <c r="Q13" s="104"/>
      <c r="R13" s="104"/>
      <c r="S13" s="104"/>
      <c r="T13" s="104"/>
    </row>
    <row r="14" spans="1:20">
      <c r="C14" s="43" t="s">
        <v>142</v>
      </c>
      <c r="D14" s="75">
        <v>13226</v>
      </c>
      <c r="E14" s="76">
        <v>2774</v>
      </c>
      <c r="F14" s="75">
        <v>6996</v>
      </c>
      <c r="N14" s="104"/>
      <c r="O14" s="104"/>
      <c r="P14" s="104"/>
      <c r="Q14" s="104"/>
      <c r="R14" s="104"/>
      <c r="S14" s="104"/>
      <c r="T14" s="104"/>
    </row>
    <row r="15" spans="1:20">
      <c r="C15" s="43" t="s">
        <v>147</v>
      </c>
      <c r="D15" s="75">
        <v>7955</v>
      </c>
      <c r="E15" s="76">
        <v>8477</v>
      </c>
      <c r="F15" s="75">
        <v>5901</v>
      </c>
      <c r="N15" s="104"/>
      <c r="O15" s="104"/>
      <c r="P15" s="104"/>
      <c r="Q15" s="104"/>
      <c r="R15" s="104"/>
      <c r="S15" s="104"/>
      <c r="T15" s="104"/>
    </row>
    <row r="16" spans="1:20">
      <c r="C16" s="43" t="s">
        <v>148</v>
      </c>
      <c r="D16" s="75">
        <v>8447</v>
      </c>
      <c r="E16" s="76">
        <v>6023</v>
      </c>
      <c r="F16" s="75">
        <v>9529</v>
      </c>
      <c r="H16" s="19" t="s">
        <v>149</v>
      </c>
    </row>
    <row r="17" spans="3:20" ht="13.5" thickBot="1">
      <c r="C17" s="43" t="s">
        <v>150</v>
      </c>
      <c r="D17" s="75">
        <v>12289</v>
      </c>
      <c r="E17" s="76">
        <v>12432</v>
      </c>
      <c r="F17" s="75">
        <v>4932</v>
      </c>
      <c r="H17" s="18" t="s">
        <v>140</v>
      </c>
      <c r="I17" s="18" t="s">
        <v>91</v>
      </c>
      <c r="J17" s="18" t="s">
        <v>133</v>
      </c>
    </row>
    <row r="18" spans="3:20" ht="13.5" thickTop="1">
      <c r="C18" s="43" t="s">
        <v>151</v>
      </c>
      <c r="D18" s="75">
        <v>14574</v>
      </c>
      <c r="E18" s="76">
        <v>3903</v>
      </c>
      <c r="F18" s="75">
        <v>3672</v>
      </c>
      <c r="H18" s="19" t="str">
        <f>H10</f>
        <v>Feb</v>
      </c>
      <c r="I18" s="19" t="str">
        <f>I10</f>
        <v>Margherita</v>
      </c>
      <c r="J18" s="89">
        <f>INDEX(TblPizza3[[Margherita]:[Napoletana]],MATCH(H18,TblPizza3[Month],0),
MATCH(I18,TblPizza3[[#Headers],[Margherita]:[Napoletana]],0))</f>
        <v>9171</v>
      </c>
      <c r="N18" s="105" t="s">
        <v>152</v>
      </c>
      <c r="O18" s="105"/>
      <c r="P18" s="105"/>
      <c r="Q18" s="105"/>
      <c r="R18" s="105"/>
      <c r="S18" s="105"/>
      <c r="T18" s="105"/>
    </row>
    <row r="19" spans="3:20">
      <c r="C19" s="43" t="s">
        <v>153</v>
      </c>
      <c r="D19" s="75">
        <v>7746</v>
      </c>
      <c r="E19" s="76">
        <v>7583</v>
      </c>
      <c r="F19" s="75">
        <v>3667</v>
      </c>
      <c r="N19" s="105"/>
      <c r="O19" s="105"/>
      <c r="P19" s="105"/>
      <c r="Q19" s="105"/>
      <c r="R19" s="105"/>
      <c r="S19" s="105"/>
      <c r="T19" s="105"/>
    </row>
    <row r="20" spans="3:20">
      <c r="C20" s="43" t="s">
        <v>154</v>
      </c>
      <c r="D20" s="75">
        <v>2606</v>
      </c>
      <c r="E20" s="76">
        <v>14112</v>
      </c>
      <c r="F20" s="75">
        <v>12964</v>
      </c>
      <c r="N20" s="105"/>
      <c r="O20" s="105"/>
      <c r="P20" s="105"/>
      <c r="Q20" s="105"/>
      <c r="R20" s="105"/>
      <c r="S20" s="105"/>
      <c r="T20" s="105"/>
    </row>
    <row r="21" spans="3:20">
      <c r="C21" s="43" t="s">
        <v>155</v>
      </c>
      <c r="D21" s="75">
        <v>14569</v>
      </c>
      <c r="E21" s="76">
        <v>13607</v>
      </c>
      <c r="F21" s="75">
        <v>7739</v>
      </c>
      <c r="L21" s="75"/>
      <c r="N21" s="105"/>
      <c r="O21" s="105"/>
      <c r="P21" s="105"/>
      <c r="Q21" s="105"/>
      <c r="R21" s="105"/>
      <c r="S21" s="105"/>
      <c r="T21" s="105"/>
    </row>
    <row r="22" spans="3:20">
      <c r="C22" s="43"/>
      <c r="E22" s="52"/>
      <c r="L22" s="75"/>
      <c r="N22" s="105"/>
      <c r="O22" s="105"/>
      <c r="P22" s="105"/>
      <c r="Q22" s="105"/>
      <c r="R22" s="105"/>
      <c r="S22" s="105"/>
      <c r="T22" s="105"/>
    </row>
    <row r="23" spans="3:20">
      <c r="C23" s="43"/>
      <c r="E23" s="52"/>
      <c r="L23" s="75"/>
      <c r="N23" s="105"/>
      <c r="O23" s="105"/>
      <c r="P23" s="105"/>
      <c r="Q23" s="105"/>
      <c r="R23" s="105"/>
      <c r="S23" s="105"/>
      <c r="T23" s="105"/>
    </row>
    <row r="24" spans="3:20">
      <c r="C24" s="43"/>
      <c r="E24" s="52"/>
      <c r="L24" s="75"/>
    </row>
    <row r="25" spans="3:20">
      <c r="C25" s="43"/>
      <c r="E25" s="52"/>
      <c r="L25" s="75"/>
    </row>
    <row r="26" spans="3:20">
      <c r="C26" s="43"/>
      <c r="E26" s="52"/>
      <c r="L26" s="75"/>
    </row>
    <row r="27" spans="3:20">
      <c r="C27" s="43"/>
      <c r="E27" s="52"/>
      <c r="L27" s="75"/>
    </row>
    <row r="28" spans="3:20">
      <c r="C28" s="43"/>
      <c r="E28" s="52"/>
      <c r="L28" s="75"/>
    </row>
    <row r="29" spans="3:20">
      <c r="C29" s="43"/>
      <c r="E29" s="52"/>
      <c r="L29" s="75"/>
    </row>
    <row r="30" spans="3:20">
      <c r="C30" s="43"/>
      <c r="E30" s="52"/>
    </row>
    <row r="31" spans="3:20">
      <c r="C31" s="43"/>
      <c r="E31" s="52"/>
    </row>
  </sheetData>
  <mergeCells count="4">
    <mergeCell ref="N10:T15"/>
    <mergeCell ref="N18:T23"/>
    <mergeCell ref="C2:F6"/>
    <mergeCell ref="H2:O6"/>
  </mergeCells>
  <conditionalFormatting sqref="D10:F21">
    <cfRule type="cellIs" dxfId="25" priority="1" operator="equal">
      <formula>$J$10</formula>
    </cfRule>
  </conditionalFormatting>
  <dataValidations count="2">
    <dataValidation type="list" allowBlank="1" showInputMessage="1" showErrorMessage="1" sqref="I10" xr:uid="{F1607302-DFD8-4B20-AD49-AB7F6D962663}">
      <formula1>$D$9:$F$9</formula1>
    </dataValidation>
    <dataValidation type="list" allowBlank="1" showInputMessage="1" showErrorMessage="1" sqref="H10" xr:uid="{87AC3A53-A379-4AAF-BCEA-BE6248C33AB3}">
      <formula1>$C$10:$C$21</formula1>
    </dataValidation>
  </dataValidations>
  <hyperlinks>
    <hyperlink ref="Q2" location="'About and Summary'!A1" display="Home" xr:uid="{D74D7763-06F8-4214-881B-A34C5DD9469F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8 4 f 9 5 0 a 3 - c 4 b 6 - 4 e 9 0 - 9 6 8 3 - 7 c 7 f a 4 9 2 e 0 e d "   x m l n s = " h t t p : / / s c h e m a s . m i c r o s o f t . c o m / D a t a M a s h u p " > A A A A A B M E A A B Q S w M E F A A C A A g A R J I w V O 6 P B M u l A A A A 9 g A A A B I A H A B D b 2 5 m a W c v U G F j a 2 F n Z S 5 4 b W w g o h g A K K A U A A A A A A A A A A A A A A A A A A A A A A A A A A A A h Y 9 B C s I w F E S v U r J v k l Y R K b 8 p 6 M K N B U E Q t y H G N t j + S p O a 3 s 2 F R / I K V r T q z u W 8 e Y u Z + / U G W V 9 X w U W 3 1 j S Y k o h y E m h U z c F g k Z L O H c M 5 y Q R s p D r J Q g e D j D b p 7 S E l p X P n h D H v P f U T 2 r Q F i z m P 2 D 5 f b 1 W p a 0 k + s v k v h w a t k 6 g 0 E b B 7 j R E x j T i n s + m w C d g I I T f 4 F e K h e 7 Y / E J Z d 5 b p W C 4 3 h a g F s j M D e H 8 Q D U E s D B B Q A A g A I A E S S M F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E k j B U 8 a n O O A w B A A D Q A Q A A E w A c A E Z v c m 1 1 b G F z L 1 N l Y 3 R p b 2 4 x L m 0 g o h g A K K A U A A A A A A A A A A A A A A A A A A A A A A A A A A A A d Y 9 P S 8 Q w E M X v h X 6 H E C 8 t h M J e X T x 1 F c V / s F U 8 W A / Z Z J a W T W c k S X W x 9 L u b t M o u i + b y y J v J + 7 0 4 U L 4 l Z N W s i 2 W a p I l r p A X N n u T G w O O 2 J P S A 3 r E L Z s C n C Q u n o t 4 q C M 7 l X o E p X s j u N k S 7 7 K o 1 U P w + y H h 5 X j 8 7 s K 7 W o C w 4 B f h F 9 Y p U 3 8 V 5 f U e o C a e I e w D f v z N t 5 d Y v i r 1 x e 5 4 L h r 0 x g n n b Q y 5 m 8 B k P C A + x 3 p o + H Q 8 V p p p F B S Z 8 I X r Z X E 4 w k K p h 2 e t t i / o t 7 P G q C R C e H 6 L W 0 N F H S C r J 9 B 0 e h c 2 D H z s 7 Z Y q B r 6 S X X D B + 4 6 G L G h l R r 1 u t A f l 4 z E D Z / c 2 I g w P j t I w Y B v 4 Q N m L s 1 H y 6 j G O e J i 3 + l 7 7 8 B l B L A Q I t A B Q A A g A I A E S S M F T u j w T L p Q A A A P Y A A A A S A A A A A A A A A A A A A A A A A A A A A A B D b 2 5 m a W c v U G F j a 2 F n Z S 5 4 b W x Q S w E C L Q A U A A I A C A B E k j B U D 8 r p q 6 Q A A A D p A A A A E w A A A A A A A A A A A A A A A A D x A A A A W 0 N v b n R l b n R f V H l w Z X N d L n h t b F B L A Q I t A B Q A A g A I A E S S M F T x q c 4 4 D A E A A N A B A A A T A A A A A A A A A A A A A A A A A O I B A A B G b 3 J t d W x h c y 9 T Z W N 0 a W 9 u M S 5 t U E s F B g A A A A A D A A M A w g A A A D s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Y K A A A A A A A A R A o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T 2 Z D b 2 5 0 Z W 5 0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U m V j b 3 Z l c n l U Y X J n Z X R T a G V l d C I g V m F s d W U 9 I n N T d W 1 t Y X J 5 I i A v P j x F b n R y e S B U e X B l P S J S Z W N v d m V y e V R h c m d l d E N v b H V t b i I g V m F s d W U 9 I m w y M C I g L z 4 8 R W 5 0 c n k g V H l w Z T 0 i U m V j b 3 Z l c n l U Y X J n Z X R S b 3 c i I F Z h b H V l P S J s N i I g L z 4 8 R W 5 0 c n k g V H l w Z T 0 i R m l s b F R h c m d l d C I g V m F s d W U 9 I n N U Y W J s Z U 9 m Q 2 9 u d G V u d H M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S 0 x N l Q x N z o x O D o w O S 4 x O D A 5 N T g y W i I g L z 4 8 R W 5 0 c n k g V H l w Z T 0 i R m l s b E N v b H V t b l R 5 c G V z I i B W Y W x 1 Z T 0 i c 0 J n P T 0 i I C 8 + P E V u d H J 5 I F R 5 c G U 9 I k Z p b G x D b 2 x 1 b W 5 O Y W 1 l c y I g V m F s d W U 9 I n N b J n F 1 b 3 Q 7 U 2 h l Z X R O Y W 1 l J n F 1 b 3 Q 7 X S I g L z 4 8 R W 5 0 c n k g V H l w Z T 0 i U X V l c n l J R C I g V m F s d W U 9 I n M 4 Z G F j N W E x O S 0 1 M G U z L T R h Y z k t O T R i N i 0 4 Y m I 3 M 2 M 4 Z T h h N 2 Q i I C 8 + P E V u d H J 5 I F R 5 c G U 9 I k Z p b G x D b 3 V u d C I g V m F s d W U 9 I m w x O C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U 9 m Q 2 9 u d G V u d H M v Q X V 0 b 1 J l b W 9 2 Z W R D b 2 x 1 b W 5 z M S 5 7 U 2 h l Z X R O Y W 1 l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1 R h Y m x l T 2 Z D b 2 5 0 Z W 5 0 c y 9 B d X R v U m V t b 3 Z l Z E N v b H V t b n M x L n t T a G V l d E 5 h b W U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T 2 Z D b 2 5 0 Z W 5 0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U 9 m Q 2 9 u d G V u d H M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P Z k N v b n R l b n R z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P Z k N v b n R l b n R z L 1 J l b m F t Z W Q l M j B D b 2 x 1 b W 5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P A Q B B o i X j t P g 8 j w M 8 + Q L g g A A A A A A g A A A A A A A 2 Y A A M A A A A A Q A A A A T X 3 A 6 b 1 x O 3 p o L a z K j h 2 t o A A A A A A E g A A A o A A A A B A A A A A 7 M R 6 z F l T C G H w + e M A P + p p V U A A A A A V v l h g q a 7 K z P w v R 0 7 6 0 P H C x C v A / W v n F 0 I X 3 r E 3 U 6 I K w d o c R v G p Q J 4 l 2 Q F v b o t T 5 J q d g p 0 d B / v y Q i W 7 M E K u j D b Z K K x c g v F T l D K K x Q a a o W X m g F A A A A G 3 m / i A 1 Y A s q E d F 1 y t k G A E t E G w d c < / D a t a M a s h u p > 
</file>

<file path=customXml/itemProps1.xml><?xml version="1.0" encoding="utf-8"?>
<ds:datastoreItem xmlns:ds="http://schemas.openxmlformats.org/officeDocument/2006/customXml" ds:itemID="{FD14791F-D817-4EF0-AF42-2DDCA7A533B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About and Summary</vt:lpstr>
      <vt:lpstr>XLOOKUP</vt:lpstr>
      <vt:lpstr>As an Array formula</vt:lpstr>
      <vt:lpstr>Error Handling</vt:lpstr>
      <vt:lpstr>Approximate Match</vt:lpstr>
      <vt:lpstr>Wildcard</vt:lpstr>
      <vt:lpstr>Dynamic Range</vt:lpstr>
      <vt:lpstr>Conditional Formatting</vt:lpstr>
      <vt:lpstr>Embedded</vt:lpstr>
      <vt:lpstr>Multiple Criteria</vt:lpstr>
      <vt:lpstr>XNPV &amp; XIRR</vt:lpstr>
      <vt:lpstr>XNPV &amp; XIRR (2)</vt:lpstr>
      <vt:lpstr>XOR</vt:lpstr>
      <vt:lpstr>XOR (2)</vt:lpstr>
      <vt:lpstr>XMATCH</vt:lpstr>
      <vt:lpstr>XMATCH (2)</vt:lpstr>
      <vt:lpstr>XMATCH (3)</vt:lpstr>
      <vt:lpstr>Thanks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Enrico de Crescenzo</dc:creator>
  <cp:lastModifiedBy>Alan Murray</cp:lastModifiedBy>
  <dcterms:created xsi:type="dcterms:W3CDTF">2021-11-11T23:08:56Z</dcterms:created>
  <dcterms:modified xsi:type="dcterms:W3CDTF">2022-01-19T18:48:39Z</dcterms:modified>
</cp:coreProperties>
</file>